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6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irectie\Directiesecretariaat\communicatie\Preventie\"/>
    </mc:Choice>
  </mc:AlternateContent>
  <bookViews>
    <workbookView xWindow="-1470" yWindow="1185" windowWidth="8640" windowHeight="5820"/>
  </bookViews>
  <sheets>
    <sheet name="hoofdformulier veilig werken" sheetId="20" r:id="rId1"/>
    <sheet name="werkvergunning" sheetId="21" state="hidden" r:id="rId2"/>
    <sheet name="gevaarljike stoffen" sheetId="3" state="hidden" r:id="rId3"/>
    <sheet name="Scheme" sheetId="2" state="hidden" r:id="rId4"/>
    <sheet name="MCB Policy" sheetId="13" state="hidden" r:id="rId5"/>
    <sheet name="H phrases" sheetId="6" state="hidden" r:id="rId6"/>
    <sheet name="P phrases" sheetId="7" state="hidden" r:id="rId7"/>
    <sheet name="Priority rules" sheetId="1" state="hidden" r:id="rId8"/>
    <sheet name="CLP labels" sheetId="4" state="hidden" r:id="rId9"/>
    <sheet name="PPE labels" sheetId="8" state="hidden" r:id="rId10"/>
    <sheet name="Interdiction labels" sheetId="11" state="hidden" r:id="rId11"/>
    <sheet name="Physical state" sheetId="10" state="hidden" r:id="rId12"/>
    <sheet name="Waste" sheetId="19" state="hidden" r:id="rId13"/>
    <sheet name="formulier elektriciteit" sheetId="22" r:id="rId14"/>
    <sheet name="formulier hoogte" sheetId="23" r:id="rId15"/>
  </sheets>
  <externalReferences>
    <externalReference r:id="rId16"/>
  </externalReferences>
  <definedNames>
    <definedName name="_xlnm._FilterDatabase" localSheetId="2" hidden="1">'gevaarljike stoffen'!$A$23:$K$23</definedName>
    <definedName name="_xlnm._FilterDatabase" localSheetId="3" hidden="1">Scheme!$A$1:$BD$135</definedName>
    <definedName name="_xlnm.Print_Area" localSheetId="13">'formulier elektriciteit'!$A$1:$AD$60</definedName>
    <definedName name="_xlnm.Print_Area" localSheetId="14">'formulier hoogte'!$A$1:$AD$57</definedName>
    <definedName name="_xlnm.Print_Area" localSheetId="0">'hoofdformulier veilig werken'!$A$1:$AD$51</definedName>
    <definedName name="code">'CLP labels'!$B$15:$B$24</definedName>
    <definedName name="ppe">'PPE labels'!$C$15:$C$32</definedName>
    <definedName name="verbod">'Interdiction labels'!$C$15:$C$18</definedName>
    <definedName name="verpakking">Scheme!$AI$132:$AI$134</definedName>
    <definedName name="Zoek_Figuur1">OFFSET('CLP labels'!$C$14,MATCH('CLP labels'!$F$15,code,0),0,1,1)</definedName>
    <definedName name="Zoek_Figuur11">OFFSET('PPE labels'!$D$14,MATCH('PPE labels'!$F$15,ppe,0),0,1,1)</definedName>
    <definedName name="Zoek_Figuur12">OFFSET('PPE labels'!$D$14,MATCH('PPE labels'!$F$16,ppe,0),0,1,1)</definedName>
    <definedName name="Zoek_Figuur13">OFFSET('PPE labels'!$D$14,MATCH('PPE labels'!$F$17,ppe,0),0,1,1)</definedName>
    <definedName name="Zoek_Figuur14">OFFSET('PPE labels'!$D$14,MATCH('PPE labels'!$F$18,ppe,0),0,1,1)</definedName>
    <definedName name="Zoek_Figuur15">OFFSET('PPE labels'!$D$14,MATCH('PPE labels'!$F$19,ppe,0),0,1,1)</definedName>
    <definedName name="Zoek_Figuur16">OFFSET('PPE labels'!$D$14,MATCH('PPE labels'!$F$20,ppe,0),0,1,1)</definedName>
    <definedName name="Zoek_Figuur17">OFFSET('PPE labels'!$D$14,MATCH('PPE labels'!$F$21,ppe,0),0,1,1)</definedName>
    <definedName name="Zoek_Figuur18">OFFSET('PPE labels'!$D$14,MATCH('PPE labels'!$F$22,ppe,0),0,1,1)</definedName>
    <definedName name="Zoek_Figuur19">OFFSET('PPE labels'!$D$14,MATCH('PPE labels'!$F$23,ppe,0),0,1,1)</definedName>
    <definedName name="Zoek_Figuur2">OFFSET('CLP labels'!$C$14,MATCH('CLP labels'!$F$16,code,0),0,1,1)</definedName>
    <definedName name="Zoek_Figuur21">OFFSET('Interdiction labels'!$D$14,MATCH('Interdiction labels'!$F$15,verbod,0),0,1,1)</definedName>
    <definedName name="Zoek_Figuur22">OFFSET('Interdiction labels'!$D$14,MATCH('Interdiction labels'!$F$16,verbod,0),0,1,1)</definedName>
    <definedName name="Zoek_Figuur23">OFFSET('Interdiction labels'!$D$14,MATCH('Interdiction labels'!$F$17,verbod,0),0,1,1)</definedName>
    <definedName name="Zoek_Figuur3">OFFSET('CLP labels'!$C$14,MATCH('CLP labels'!$F$17,code,0),0,1,1)</definedName>
    <definedName name="Zoek_Figuur31">OFFSET(Scheme!$AJ$131,MATCH(Scheme!$AK$132,verpakking,0),0,1,1)</definedName>
    <definedName name="Zoek_Figuur32">OFFSET(Scheme!$AJ$131,MATCH(Scheme!$AK$133,verpakking,0),0,1,1)</definedName>
    <definedName name="Zoek_Figuur4">OFFSET('CLP labels'!$C$14,MATCH('CLP labels'!$F$18,code,0),0,1,1)</definedName>
    <definedName name="Zoek_Figuur5">OFFSET('CLP labels'!$C$14,MATCH('CLP labels'!$F$19,code,0),0,1,1)</definedName>
    <definedName name="Zoek_Figuur6">OFFSET('CLP labels'!$C$14,MATCH('CLP labels'!$F$20,code,0),0,1,1)</definedName>
    <definedName name="Zoek_Figuur7">OFFSET('CLP labels'!$C$14,MATCH('CLP labels'!$F$21,code,0),0,1,1)</definedName>
    <definedName name="Zoek_Figuur8">OFFSET('CLP labels'!$C$14,MATCH('CLP labels'!$F$22,code,0),0,1,1)</definedName>
    <definedName name="Zoek_Figuur9">OFFSET('CLP labels'!$C$14,MATCH('CLP labels'!$F$23,code,0),0,1,1)</definedName>
  </definedNames>
  <calcPr calcId="162913"/>
</workbook>
</file>

<file path=xl/calcChain.xml><?xml version="1.0" encoding="utf-8"?>
<calcChain xmlns="http://schemas.openxmlformats.org/spreadsheetml/2006/main">
  <c r="K7" i="23" l="1"/>
  <c r="F55" i="23"/>
  <c r="D3" i="23" l="1"/>
  <c r="N9" i="23" l="1"/>
  <c r="AF14" i="23" l="1"/>
  <c r="AF30" i="20" l="1"/>
  <c r="AF29" i="20"/>
  <c r="AE29" i="20"/>
  <c r="AE14" i="23" l="1"/>
  <c r="AH14" i="23" l="1"/>
  <c r="AG14" i="23"/>
  <c r="V18" i="23"/>
  <c r="S18" i="23"/>
  <c r="P18" i="23"/>
  <c r="V16" i="23"/>
  <c r="S16" i="23"/>
  <c r="P16" i="23"/>
  <c r="Y16" i="23"/>
  <c r="Y20" i="23"/>
  <c r="V20" i="23"/>
  <c r="S20" i="23"/>
  <c r="P20" i="23"/>
  <c r="AI14" i="23" l="1"/>
  <c r="AI13" i="23"/>
  <c r="AC20" i="23"/>
  <c r="AH49" i="22"/>
  <c r="AC18" i="23" l="1"/>
  <c r="AC16" i="23" s="1"/>
  <c r="P24" i="23"/>
  <c r="X26" i="23" s="1"/>
  <c r="AE48" i="22"/>
  <c r="AE47" i="22"/>
  <c r="AF47" i="22" s="1"/>
  <c r="AE46" i="22"/>
  <c r="AF46" i="22" s="1"/>
  <c r="AE45" i="22"/>
  <c r="AF45" i="22" s="1"/>
  <c r="AE44" i="22"/>
  <c r="AF44" i="22" s="1"/>
  <c r="AE43" i="22"/>
  <c r="AF43" i="22" s="1"/>
  <c r="AE42" i="22"/>
  <c r="AF42" i="22" s="1"/>
  <c r="AE41" i="22"/>
  <c r="AF41" i="22" s="1"/>
  <c r="P22" i="23" l="1"/>
  <c r="P23" i="23"/>
  <c r="AF48" i="22"/>
  <c r="AJ31" i="22"/>
  <c r="AK33" i="22"/>
  <c r="AK32" i="22"/>
  <c r="AK31" i="22"/>
  <c r="E23" i="22"/>
  <c r="AE40" i="22" s="1"/>
  <c r="AF40" i="22" s="1"/>
  <c r="AE30" i="20"/>
  <c r="AG34" i="22"/>
  <c r="AG35" i="22"/>
  <c r="AG36" i="22"/>
  <c r="N15" i="22"/>
  <c r="N19" i="22"/>
  <c r="W19" i="22"/>
  <c r="E19" i="22"/>
  <c r="W15" i="22"/>
  <c r="AH12" i="22"/>
  <c r="AI45" i="22" l="1"/>
  <c r="A49" i="22" s="1"/>
  <c r="AI39" i="22"/>
  <c r="AI41" i="22"/>
  <c r="A41" i="22" s="1"/>
  <c r="AI48" i="22"/>
  <c r="A55" i="22" s="1"/>
  <c r="AI46" i="22"/>
  <c r="A51" i="22" s="1"/>
  <c r="AI47" i="22"/>
  <c r="A53" i="22" s="1"/>
  <c r="AI44" i="22"/>
  <c r="A47" i="22" s="1"/>
  <c r="AI43" i="22"/>
  <c r="A45" i="22" s="1"/>
  <c r="AI42" i="22"/>
  <c r="A43" i="22" s="1"/>
  <c r="AI40" i="22"/>
  <c r="E27" i="22"/>
  <c r="AH27" i="22"/>
  <c r="AH28" i="22"/>
  <c r="AH29" i="22"/>
  <c r="AH30" i="22"/>
  <c r="AH31" i="22"/>
  <c r="AH32" i="22"/>
  <c r="AH33" i="22"/>
  <c r="AH26" i="22"/>
  <c r="AG27" i="22"/>
  <c r="AG28" i="22"/>
  <c r="AG29" i="22"/>
  <c r="AG30" i="22"/>
  <c r="AG31" i="22"/>
  <c r="AG32" i="22"/>
  <c r="AG33" i="22"/>
  <c r="AG26" i="22"/>
  <c r="AF10" i="22"/>
  <c r="AG10" i="22"/>
  <c r="AE10" i="22"/>
  <c r="E15" i="22"/>
  <c r="A39" i="22" l="1"/>
  <c r="AG24" i="22"/>
  <c r="R25" i="22" s="1"/>
  <c r="AH24" i="22"/>
  <c r="AH10" i="22"/>
  <c r="AK34" i="22" s="1"/>
  <c r="I25" i="22" l="1"/>
  <c r="AK37" i="22"/>
  <c r="A37" i="22"/>
  <c r="Z11" i="22"/>
  <c r="AI37" i="20"/>
  <c r="V37" i="20" s="1"/>
  <c r="L9" i="23" l="1"/>
  <c r="F9" i="23"/>
  <c r="L8" i="23"/>
  <c r="F8" i="23"/>
  <c r="G6" i="23"/>
  <c r="G5" i="23"/>
  <c r="G4" i="23"/>
  <c r="N9" i="22" l="1"/>
  <c r="L9" i="22"/>
  <c r="L8" i="22"/>
  <c r="F9" i="22"/>
  <c r="F8" i="22"/>
  <c r="K7" i="22"/>
  <c r="G5" i="22"/>
  <c r="G6" i="22"/>
  <c r="G4" i="22"/>
  <c r="D3" i="22"/>
  <c r="A29" i="20" l="1"/>
  <c r="AJ37" i="20"/>
  <c r="AJ43" i="20" l="1"/>
  <c r="Z43" i="20" s="1"/>
  <c r="Z37" i="20"/>
  <c r="AF32" i="20"/>
  <c r="P32" i="20" s="1"/>
  <c r="AE34" i="20"/>
  <c r="A34" i="20" s="1"/>
  <c r="AE33" i="20"/>
  <c r="A33" i="20" s="1"/>
  <c r="AE32" i="20"/>
  <c r="A32" i="20" s="1"/>
  <c r="AE31" i="20"/>
  <c r="A31" i="20" s="1"/>
  <c r="A30" i="20"/>
  <c r="AE28" i="20"/>
  <c r="A28" i="20" s="1"/>
  <c r="AI43" i="20"/>
  <c r="V43" i="20" s="1"/>
  <c r="AH37" i="20"/>
  <c r="AG37" i="20"/>
  <c r="AF37" i="20"/>
  <c r="AE37" i="20"/>
  <c r="B9" i="3"/>
  <c r="B8" i="3"/>
  <c r="B7" i="3"/>
  <c r="B6" i="3"/>
  <c r="B5" i="3"/>
  <c r="B4" i="3"/>
  <c r="AE43" i="20" l="1"/>
  <c r="G43" i="20" s="1"/>
  <c r="G37" i="20"/>
  <c r="AF43" i="20"/>
  <c r="J43" i="20" s="1"/>
  <c r="J37" i="20"/>
  <c r="AG43" i="20"/>
  <c r="N43" i="20" s="1"/>
  <c r="N37" i="20"/>
  <c r="AH43" i="20"/>
  <c r="S43" i="20" s="1"/>
  <c r="S37" i="20"/>
  <c r="AE25" i="20"/>
  <c r="A25" i="20" s="1"/>
  <c r="B3" i="3" l="1"/>
  <c r="BD61" i="2"/>
  <c r="BD62" i="2"/>
  <c r="BD63" i="2"/>
  <c r="BD64" i="2"/>
  <c r="BD65" i="2"/>
  <c r="H5" i="19" s="1"/>
  <c r="A41" i="3" s="1"/>
  <c r="BD60" i="2"/>
  <c r="BD41" i="2"/>
  <c r="BD40" i="2"/>
  <c r="BD39" i="2"/>
  <c r="BD38" i="2"/>
  <c r="BD37" i="2"/>
  <c r="BD36" i="2"/>
  <c r="BD14" i="2"/>
  <c r="BD43" i="2"/>
  <c r="BD42" i="2"/>
  <c r="BD25" i="2"/>
  <c r="BD24" i="2"/>
  <c r="BD7" i="2"/>
  <c r="BD6" i="2"/>
  <c r="BD5" i="2"/>
  <c r="BD4" i="2"/>
  <c r="BD3" i="2"/>
  <c r="BD45" i="2"/>
  <c r="BD44" i="2"/>
  <c r="BD35" i="2"/>
  <c r="BD34" i="2"/>
  <c r="BD33" i="2"/>
  <c r="BD32" i="2"/>
  <c r="BD31" i="2"/>
  <c r="BD30" i="2"/>
  <c r="BD29" i="2"/>
  <c r="BD27" i="2"/>
  <c r="BD26" i="2"/>
  <c r="BD23" i="2"/>
  <c r="BD22" i="2"/>
  <c r="BD21" i="2"/>
  <c r="BD20" i="2"/>
  <c r="BD19" i="2"/>
  <c r="BD13" i="2"/>
  <c r="BD12" i="2"/>
  <c r="BD11" i="2"/>
  <c r="BD10" i="2"/>
  <c r="F4" i="19"/>
  <c r="N34" i="3" s="1"/>
  <c r="G4" i="19"/>
  <c r="O34" i="3" s="1"/>
  <c r="H4" i="19"/>
  <c r="A40" i="3" s="1"/>
  <c r="F5" i="19"/>
  <c r="N35" i="3" s="1"/>
  <c r="G5" i="19"/>
  <c r="O35" i="3" s="1"/>
  <c r="F6" i="19"/>
  <c r="N36" i="3" s="1"/>
  <c r="G6" i="19"/>
  <c r="O36" i="3" s="1"/>
  <c r="H6" i="19"/>
  <c r="A42" i="3" s="1"/>
  <c r="F7" i="19"/>
  <c r="N37" i="3" s="1"/>
  <c r="G7" i="19"/>
  <c r="O37" i="3" s="1"/>
  <c r="H7" i="19"/>
  <c r="A44" i="3" s="1"/>
  <c r="F8" i="19"/>
  <c r="N38" i="3" s="1"/>
  <c r="G8" i="19"/>
  <c r="O38" i="3" s="1"/>
  <c r="H8" i="19"/>
  <c r="G3" i="19"/>
  <c r="O33" i="3" s="1"/>
  <c r="F3" i="19"/>
  <c r="N33" i="3" s="1"/>
  <c r="B19" i="19"/>
  <c r="C4" i="19"/>
  <c r="D4" i="19" s="1"/>
  <c r="C34" i="3" s="1"/>
  <c r="C5" i="19"/>
  <c r="D5" i="19" s="1"/>
  <c r="C35" i="3" s="1"/>
  <c r="C6" i="19"/>
  <c r="D6" i="19" s="1"/>
  <c r="C36" i="3" s="1"/>
  <c r="C7" i="19"/>
  <c r="D7" i="19" s="1"/>
  <c r="C37" i="3" s="1"/>
  <c r="C8" i="19"/>
  <c r="C3" i="19"/>
  <c r="D3" i="19" s="1"/>
  <c r="C33" i="3" s="1"/>
  <c r="H3" i="19" l="1"/>
  <c r="A39" i="3" s="1"/>
  <c r="D8" i="19"/>
  <c r="C38" i="3" s="1"/>
  <c r="A43" i="3"/>
  <c r="B33" i="3"/>
  <c r="B37" i="3"/>
  <c r="B35" i="3"/>
  <c r="B38" i="3"/>
  <c r="B36" i="3"/>
  <c r="B34" i="3"/>
  <c r="E7" i="19"/>
  <c r="E8" i="19"/>
  <c r="E4" i="19"/>
  <c r="E3" i="19"/>
  <c r="E5" i="19"/>
  <c r="E6" i="19"/>
  <c r="C1" i="19" l="1"/>
  <c r="M33" i="3" s="1"/>
  <c r="K17" i="8"/>
  <c r="L17" i="8"/>
  <c r="M17" i="8"/>
  <c r="N17" i="8"/>
  <c r="O17" i="8"/>
  <c r="P17" i="8"/>
  <c r="Q17" i="8"/>
  <c r="R17" i="8"/>
  <c r="J17" i="8"/>
  <c r="C4" i="3"/>
  <c r="C5" i="3"/>
  <c r="C6" i="3"/>
  <c r="C7" i="3"/>
  <c r="C8" i="3"/>
  <c r="C9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AN142" i="2"/>
  <c r="AO142" i="2"/>
  <c r="AP142" i="2"/>
  <c r="E3" i="11" l="1"/>
  <c r="E4" i="11"/>
  <c r="E5" i="11"/>
  <c r="E6" i="11"/>
  <c r="E7" i="11"/>
  <c r="D3" i="11"/>
  <c r="D4" i="11"/>
  <c r="D5" i="11"/>
  <c r="D6" i="11"/>
  <c r="D7" i="11"/>
  <c r="C3" i="11"/>
  <c r="C4" i="11"/>
  <c r="C5" i="11"/>
  <c r="C6" i="11"/>
  <c r="C7" i="11"/>
  <c r="E2" i="11"/>
  <c r="D2" i="11"/>
  <c r="C2" i="11"/>
  <c r="K3" i="8"/>
  <c r="K4" i="8"/>
  <c r="K5" i="8"/>
  <c r="K6" i="8"/>
  <c r="K7" i="8"/>
  <c r="K2" i="8"/>
  <c r="J6" i="8"/>
  <c r="J7" i="8"/>
  <c r="I3" i="8"/>
  <c r="I4" i="8"/>
  <c r="I5" i="8"/>
  <c r="I6" i="8"/>
  <c r="I7" i="8"/>
  <c r="I2" i="8"/>
  <c r="H7" i="8"/>
  <c r="G7" i="8"/>
  <c r="F3" i="8"/>
  <c r="F7" i="8"/>
  <c r="E3" i="8"/>
  <c r="E4" i="8"/>
  <c r="E5" i="8"/>
  <c r="E6" i="8"/>
  <c r="E7" i="8"/>
  <c r="E2" i="8"/>
  <c r="D3" i="8"/>
  <c r="D7" i="8"/>
  <c r="C3" i="8"/>
  <c r="C4" i="8"/>
  <c r="C5" i="8"/>
  <c r="C6" i="8"/>
  <c r="C7" i="8"/>
  <c r="C2" i="8"/>
  <c r="B5" i="4"/>
  <c r="B2" i="4"/>
  <c r="E73" i="7" l="1"/>
  <c r="E102" i="7"/>
  <c r="BL37" i="3" l="1"/>
  <c r="B24" i="3" s="1"/>
  <c r="C24" i="3" s="1"/>
  <c r="BL38" i="3"/>
  <c r="B25" i="3" s="1"/>
  <c r="C25" i="3" s="1"/>
  <c r="BL39" i="3"/>
  <c r="B26" i="3" s="1"/>
  <c r="BL40" i="3"/>
  <c r="B27" i="3" s="1"/>
  <c r="BL41" i="3"/>
  <c r="B28" i="3" s="1"/>
  <c r="BL42" i="3"/>
  <c r="B29" i="3" s="1"/>
  <c r="BL43" i="3"/>
  <c r="B30" i="3" s="1"/>
  <c r="Y58" i="2"/>
  <c r="Y55" i="2"/>
  <c r="AJ8" i="3"/>
  <c r="AK8" i="3"/>
  <c r="C73" i="7"/>
  <c r="I73" i="7"/>
  <c r="H73" i="7"/>
  <c r="G73" i="7"/>
  <c r="F73" i="7"/>
  <c r="D73" i="7"/>
  <c r="A15" i="3"/>
  <c r="I102" i="7"/>
  <c r="H102" i="7"/>
  <c r="G102" i="7"/>
  <c r="F102" i="7"/>
  <c r="D102" i="7"/>
  <c r="C102" i="7"/>
  <c r="A13" i="3"/>
  <c r="D32" i="1"/>
  <c r="B32" i="1"/>
  <c r="U32" i="1" s="1"/>
  <c r="D26" i="1"/>
  <c r="D27" i="1"/>
  <c r="D28" i="1"/>
  <c r="D29" i="1"/>
  <c r="D30" i="1"/>
  <c r="D31" i="1"/>
  <c r="D25" i="1"/>
  <c r="B25" i="1"/>
  <c r="U25" i="1" s="1"/>
  <c r="B26" i="1"/>
  <c r="U26" i="1" s="1"/>
  <c r="B27" i="1"/>
  <c r="U27" i="1" s="1"/>
  <c r="B28" i="1"/>
  <c r="U28" i="1" s="1"/>
  <c r="B29" i="1"/>
  <c r="U29" i="1" s="1"/>
  <c r="B30" i="1"/>
  <c r="U30" i="1" s="1"/>
  <c r="B31" i="1"/>
  <c r="U31" i="1" s="1"/>
  <c r="M143" i="3" l="1"/>
  <c r="M144" i="3"/>
  <c r="M145" i="3"/>
  <c r="M146" i="3"/>
  <c r="M147" i="3"/>
  <c r="M148" i="3"/>
  <c r="M149" i="3"/>
  <c r="B143" i="3"/>
  <c r="L143" i="3" s="1"/>
  <c r="B144" i="3"/>
  <c r="L144" i="3" s="1"/>
  <c r="B145" i="3"/>
  <c r="L145" i="3" s="1"/>
  <c r="B146" i="3"/>
  <c r="L146" i="3" s="1"/>
  <c r="B147" i="3"/>
  <c r="L147" i="3" s="1"/>
  <c r="B148" i="3"/>
  <c r="L148" i="3" s="1"/>
  <c r="B149" i="3"/>
  <c r="L149" i="3" s="1"/>
  <c r="BG22" i="3"/>
  <c r="BG28" i="3"/>
  <c r="BF22" i="3"/>
  <c r="BI22" i="3" s="1"/>
  <c r="BF23" i="3"/>
  <c r="BI23" i="3" s="1"/>
  <c r="BE22" i="3"/>
  <c r="BH22" i="3" s="1"/>
  <c r="BE23" i="3"/>
  <c r="BH23" i="3" s="1"/>
  <c r="BD22" i="3"/>
  <c r="BD23" i="3"/>
  <c r="BG23" i="3" s="1"/>
  <c r="BI23" i="13" l="1"/>
  <c r="BG23" i="13"/>
  <c r="BE23" i="13"/>
  <c r="BD23" i="13"/>
  <c r="BC23" i="13"/>
  <c r="BB23" i="13"/>
  <c r="AO23" i="13"/>
  <c r="AL23" i="13"/>
  <c r="AL24" i="13" s="1"/>
  <c r="AL4" i="2"/>
  <c r="AL5" i="2"/>
  <c r="AL6" i="2"/>
  <c r="AL7" i="2"/>
  <c r="AL8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1" i="2"/>
  <c r="AL92" i="2"/>
  <c r="AL93" i="2"/>
  <c r="AL94" i="2"/>
  <c r="AL95" i="2"/>
  <c r="AL96" i="2"/>
  <c r="AL97" i="2"/>
  <c r="AL98" i="2"/>
  <c r="AL99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3" i="2"/>
  <c r="G53" i="2"/>
  <c r="G52" i="2"/>
  <c r="G51" i="2"/>
  <c r="G50" i="2"/>
  <c r="G49" i="2"/>
  <c r="G48" i="2"/>
  <c r="G13" i="2"/>
  <c r="G12" i="2"/>
  <c r="G24" i="13" l="1"/>
  <c r="O24" i="13"/>
  <c r="B23" i="13"/>
  <c r="B24" i="13" s="1"/>
  <c r="C23" i="13"/>
  <c r="C24" i="13" s="1"/>
  <c r="D23" i="13"/>
  <c r="D24" i="13" s="1"/>
  <c r="E23" i="13"/>
  <c r="E24" i="13" s="1"/>
  <c r="F23" i="13"/>
  <c r="F24" i="13" s="1"/>
  <c r="H23" i="13"/>
  <c r="I23" i="13"/>
  <c r="I24" i="13" s="1"/>
  <c r="J23" i="13"/>
  <c r="J24" i="13" s="1"/>
  <c r="K23" i="13"/>
  <c r="K24" i="13" s="1"/>
  <c r="L23" i="13"/>
  <c r="L24" i="13" s="1"/>
  <c r="M23" i="13"/>
  <c r="M24" i="13" s="1"/>
  <c r="N23" i="13"/>
  <c r="N24" i="13" s="1"/>
  <c r="P23" i="13"/>
  <c r="P24" i="13" s="1"/>
  <c r="Q23" i="13"/>
  <c r="Q24" i="13" s="1"/>
  <c r="R23" i="13"/>
  <c r="R24" i="13" s="1"/>
  <c r="S23" i="13"/>
  <c r="S24" i="13" s="1"/>
  <c r="T23" i="13"/>
  <c r="T24" i="13" s="1"/>
  <c r="U23" i="13"/>
  <c r="U24" i="13" s="1"/>
  <c r="V23" i="13"/>
  <c r="V24" i="13" s="1"/>
  <c r="W23" i="13"/>
  <c r="W24" i="13" s="1"/>
  <c r="X23" i="13"/>
  <c r="X24" i="13" s="1"/>
  <c r="Y23" i="13"/>
  <c r="Y24" i="13" s="1"/>
  <c r="Z23" i="13"/>
  <c r="Z24" i="13" s="1"/>
  <c r="AA23" i="13"/>
  <c r="AA24" i="13" s="1"/>
  <c r="AB23" i="13"/>
  <c r="AB24" i="13" s="1"/>
  <c r="AC23" i="13"/>
  <c r="AC24" i="13" s="1"/>
  <c r="AD23" i="13"/>
  <c r="AD24" i="13" s="1"/>
  <c r="AE23" i="13"/>
  <c r="AE24" i="13" s="1"/>
  <c r="AF23" i="13"/>
  <c r="AF24" i="13" s="1"/>
  <c r="AG23" i="13"/>
  <c r="AJ23" i="13"/>
  <c r="AJ24" i="13" s="1"/>
  <c r="AK23" i="13"/>
  <c r="AK24" i="13" s="1"/>
  <c r="AM23" i="13"/>
  <c r="AM24" i="13" s="1"/>
  <c r="AN23" i="13"/>
  <c r="AN24" i="13" s="1"/>
  <c r="AO24" i="13"/>
  <c r="AP23" i="13"/>
  <c r="AP24" i="13" s="1"/>
  <c r="AQ23" i="13"/>
  <c r="AQ24" i="13" s="1"/>
  <c r="AR23" i="13"/>
  <c r="AR24" i="13" s="1"/>
  <c r="AS23" i="13"/>
  <c r="AT23" i="13"/>
  <c r="AT24" i="13" s="1"/>
  <c r="AU23" i="13"/>
  <c r="AU24" i="13" s="1"/>
  <c r="AV23" i="13"/>
  <c r="AV24" i="13" s="1"/>
  <c r="AW23" i="13"/>
  <c r="AW24" i="13" s="1"/>
  <c r="AX23" i="13"/>
  <c r="AX24" i="13" s="1"/>
  <c r="AY23" i="13"/>
  <c r="AY24" i="13" s="1"/>
  <c r="AZ23" i="13"/>
  <c r="AZ24" i="13" s="1"/>
  <c r="BA23" i="13"/>
  <c r="BA24" i="13" s="1"/>
  <c r="BC24" i="13"/>
  <c r="BD24" i="13"/>
  <c r="BE24" i="13"/>
  <c r="BF23" i="13"/>
  <c r="BF24" i="13" s="1"/>
  <c r="BG24" i="13"/>
  <c r="BH23" i="13"/>
  <c r="BI24" i="13"/>
  <c r="BJ23" i="13"/>
  <c r="BJ24" i="13" s="1"/>
  <c r="BK23" i="13"/>
  <c r="BK24" i="13" s="1"/>
  <c r="BL23" i="13"/>
  <c r="BL24" i="13" s="1"/>
  <c r="BM23" i="13"/>
  <c r="BM24" i="13" s="1"/>
  <c r="BN23" i="13"/>
  <c r="BN24" i="13" s="1"/>
  <c r="BO23" i="13"/>
  <c r="BO24" i="13" s="1"/>
  <c r="BP23" i="13"/>
  <c r="BP24" i="13" s="1"/>
  <c r="BQ23" i="13"/>
  <c r="BR23" i="13"/>
  <c r="BR24" i="13" s="1"/>
  <c r="BS23" i="13"/>
  <c r="BS24" i="13" s="1"/>
  <c r="BT23" i="13"/>
  <c r="BU23" i="13"/>
  <c r="BU24" i="13" s="1"/>
  <c r="BV23" i="13"/>
  <c r="BV24" i="13" s="1"/>
  <c r="BW23" i="13"/>
  <c r="BW24" i="13" s="1"/>
  <c r="BX23" i="13"/>
  <c r="BX24" i="13" s="1"/>
  <c r="BY23" i="13"/>
  <c r="BY24" i="13" s="1"/>
  <c r="BZ23" i="13"/>
  <c r="BZ24" i="13" s="1"/>
  <c r="CA23" i="13"/>
  <c r="CA24" i="13" s="1"/>
  <c r="A25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C25" i="13"/>
  <c r="CD25" i="13"/>
  <c r="CE25" i="13"/>
  <c r="CF25" i="13"/>
  <c r="CG25" i="13"/>
  <c r="CH25" i="13"/>
  <c r="CI25" i="13"/>
  <c r="CJ25" i="13"/>
  <c r="CK25" i="13"/>
  <c r="CL25" i="13"/>
  <c r="CM25" i="13"/>
  <c r="CN25" i="13"/>
  <c r="CO25" i="13"/>
  <c r="CP25" i="13"/>
  <c r="CQ25" i="13"/>
  <c r="CR25" i="13"/>
  <c r="CS25" i="13"/>
  <c r="CT25" i="13"/>
  <c r="CU25" i="13"/>
  <c r="CV25" i="13"/>
  <c r="B133" i="2"/>
  <c r="J67" i="2" l="1"/>
  <c r="I63" i="2"/>
  <c r="L62" i="2"/>
  <c r="L61" i="2"/>
  <c r="L60" i="2"/>
  <c r="J54" i="2"/>
  <c r="L45" i="2"/>
  <c r="L44" i="2"/>
  <c r="L41" i="2"/>
  <c r="L40" i="2"/>
  <c r="L39" i="2"/>
  <c r="K38" i="2"/>
  <c r="K37" i="2"/>
  <c r="L36" i="2"/>
  <c r="J35" i="2"/>
  <c r="K34" i="2"/>
  <c r="M26" i="2"/>
  <c r="M27" i="2"/>
  <c r="K21" i="2"/>
  <c r="K20" i="2"/>
  <c r="J23" i="2"/>
  <c r="J22" i="2"/>
  <c r="J21" i="2"/>
  <c r="J20" i="2"/>
  <c r="S22" i="3" l="1"/>
  <c r="CV23" i="13"/>
  <c r="CU23" i="13"/>
  <c r="CT23" i="13"/>
  <c r="CS23" i="13"/>
  <c r="CS24" i="13" s="1"/>
  <c r="CR23" i="13"/>
  <c r="CR24" i="13" s="1"/>
  <c r="CQ23" i="13"/>
  <c r="CQ24" i="13" s="1"/>
  <c r="CP23" i="13"/>
  <c r="CP24" i="13" s="1"/>
  <c r="CO23" i="13"/>
  <c r="CO24" i="13" s="1"/>
  <c r="CN23" i="13"/>
  <c r="CN24" i="13" s="1"/>
  <c r="CM23" i="13"/>
  <c r="CM24" i="13" s="1"/>
  <c r="CL23" i="13"/>
  <c r="CL24" i="13" s="1"/>
  <c r="CK23" i="13"/>
  <c r="CK24" i="13" s="1"/>
  <c r="CJ23" i="13"/>
  <c r="CJ24" i="13" s="1"/>
  <c r="CI23" i="13"/>
  <c r="CI24" i="13" s="1"/>
  <c r="CH23" i="13"/>
  <c r="CH24" i="13" s="1"/>
  <c r="CG23" i="13"/>
  <c r="CG24" i="13" s="1"/>
  <c r="CF23" i="13"/>
  <c r="CF24" i="13" s="1"/>
  <c r="CE23" i="13"/>
  <c r="CE24" i="13" s="1"/>
  <c r="CD23" i="13"/>
  <c r="CC23" i="13"/>
  <c r="CC24" i="13" s="1"/>
  <c r="A23" i="13"/>
  <c r="A24" i="13" s="1"/>
  <c r="B138" i="2"/>
  <c r="C149" i="2" s="1"/>
  <c r="C147" i="2" l="1"/>
  <c r="C138" i="2"/>
  <c r="I95" i="2" s="1"/>
  <c r="CD24" i="13"/>
  <c r="AO69" i="2"/>
  <c r="AQ69" i="2"/>
  <c r="AO71" i="2"/>
  <c r="AQ71" i="2"/>
  <c r="AO73" i="2"/>
  <c r="AQ73" i="2"/>
  <c r="AO75" i="2"/>
  <c r="AQ75" i="2"/>
  <c r="AO77" i="2"/>
  <c r="AQ77" i="2"/>
  <c r="AO79" i="2"/>
  <c r="AQ79" i="2"/>
  <c r="AO81" i="2"/>
  <c r="AQ81" i="2"/>
  <c r="AO83" i="2"/>
  <c r="AQ83" i="2"/>
  <c r="AO85" i="2"/>
  <c r="AQ85" i="2"/>
  <c r="AO87" i="2"/>
  <c r="AQ87" i="2"/>
  <c r="AO89" i="2"/>
  <c r="AQ89" i="2"/>
  <c r="AO91" i="2"/>
  <c r="AQ91" i="2"/>
  <c r="AO95" i="2"/>
  <c r="AQ95" i="2"/>
  <c r="AO68" i="2"/>
  <c r="AQ68" i="2"/>
  <c r="AO70" i="2"/>
  <c r="AQ70" i="2"/>
  <c r="AO72" i="2"/>
  <c r="AQ72" i="2"/>
  <c r="AO74" i="2"/>
  <c r="AQ74" i="2"/>
  <c r="AO76" i="2"/>
  <c r="AQ76" i="2"/>
  <c r="AO78" i="2"/>
  <c r="AQ78" i="2"/>
  <c r="AO80" i="2"/>
  <c r="AQ80" i="2"/>
  <c r="AO82" i="2"/>
  <c r="AQ82" i="2"/>
  <c r="AO84" i="2"/>
  <c r="AQ84" i="2"/>
  <c r="AO86" i="2"/>
  <c r="AQ86" i="2"/>
  <c r="AO88" i="2"/>
  <c r="AQ88" i="2"/>
  <c r="AO90" i="2"/>
  <c r="AQ90" i="2"/>
  <c r="AO92" i="2"/>
  <c r="AQ92" i="2"/>
  <c r="AO96" i="2"/>
  <c r="AQ96" i="2"/>
  <c r="AZ5" i="2"/>
  <c r="AZ6" i="2"/>
  <c r="AZ7" i="2"/>
  <c r="AZ8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4" i="2"/>
  <c r="AZ3" i="2"/>
  <c r="AB22" i="3"/>
  <c r="AB21" i="3"/>
  <c r="AA22" i="3"/>
  <c r="AB24" i="3"/>
  <c r="AB28" i="3"/>
  <c r="T22" i="3"/>
  <c r="AJ21" i="3"/>
  <c r="T21" i="3"/>
  <c r="D16" i="1"/>
  <c r="D17" i="1"/>
  <c r="D18" i="1"/>
  <c r="D20" i="1"/>
  <c r="D21" i="1"/>
  <c r="D22" i="1"/>
  <c r="D23" i="1"/>
  <c r="D15" i="1"/>
  <c r="B16" i="1"/>
  <c r="U16" i="1" s="1"/>
  <c r="B17" i="1"/>
  <c r="U17" i="1" s="1"/>
  <c r="B18" i="1"/>
  <c r="U18" i="1" s="1"/>
  <c r="B19" i="1"/>
  <c r="U19" i="1" s="1"/>
  <c r="B20" i="1"/>
  <c r="U20" i="1" s="1"/>
  <c r="B21" i="1"/>
  <c r="U21" i="1" s="1"/>
  <c r="B22" i="1"/>
  <c r="U22" i="1" s="1"/>
  <c r="B23" i="1"/>
  <c r="U23" i="1" s="1"/>
  <c r="B24" i="1"/>
  <c r="U24" i="1" s="1"/>
  <c r="B15" i="1"/>
  <c r="U15" i="1" s="1"/>
  <c r="AU22" i="3"/>
  <c r="AU23" i="3"/>
  <c r="D6" i="8" l="1"/>
  <c r="D4" i="8"/>
  <c r="F6" i="8"/>
  <c r="F4" i="8"/>
  <c r="AU115" i="2"/>
  <c r="AU86" i="2"/>
  <c r="F5" i="8"/>
  <c r="F2" i="8"/>
  <c r="D5" i="8"/>
  <c r="D2" i="8"/>
  <c r="AU94" i="2"/>
  <c r="AU96" i="2"/>
  <c r="AU85" i="2"/>
  <c r="AU78" i="2"/>
  <c r="AU69" i="2"/>
  <c r="AU70" i="2"/>
  <c r="AU77" i="2"/>
  <c r="AU50" i="2"/>
  <c r="AU66" i="2"/>
  <c r="AU97" i="2"/>
  <c r="AR53" i="2"/>
  <c r="AR59" i="2"/>
  <c r="AR50" i="2"/>
  <c r="AR56" i="2"/>
  <c r="G3" i="8" s="1"/>
  <c r="I92" i="2"/>
  <c r="Q93" i="2"/>
  <c r="AU90" i="2"/>
  <c r="AU82" i="2"/>
  <c r="AU74" i="2"/>
  <c r="AU89" i="2"/>
  <c r="AU81" i="2"/>
  <c r="AU73" i="2"/>
  <c r="AU95" i="2"/>
  <c r="AU22" i="2"/>
  <c r="I62" i="2"/>
  <c r="AU61" i="2"/>
  <c r="I66" i="2"/>
  <c r="Q94" i="2"/>
  <c r="AU62" i="2"/>
  <c r="AU93" i="2"/>
  <c r="J90" i="2"/>
  <c r="AU21" i="2"/>
  <c r="AU53" i="2"/>
  <c r="AU92" i="2"/>
  <c r="AU88" i="2"/>
  <c r="AU84" i="2"/>
  <c r="AU80" i="2"/>
  <c r="AU76" i="2"/>
  <c r="AU72" i="2"/>
  <c r="AU68" i="2"/>
  <c r="AU87" i="2"/>
  <c r="AU83" i="2"/>
  <c r="AU79" i="2"/>
  <c r="AU75" i="2"/>
  <c r="AU71" i="2"/>
  <c r="AU91" i="2"/>
  <c r="I61" i="2"/>
  <c r="P59" i="2"/>
  <c r="I94" i="2"/>
  <c r="AU20" i="2"/>
  <c r="AU60" i="2"/>
  <c r="AU56" i="2"/>
  <c r="AU67" i="2"/>
  <c r="I60" i="2"/>
  <c r="I67" i="2"/>
  <c r="I93" i="2"/>
  <c r="I96" i="2"/>
  <c r="AU23" i="2"/>
  <c r="AU59" i="2"/>
  <c r="AS109" i="2"/>
  <c r="AS96" i="2"/>
  <c r="AS94" i="2"/>
  <c r="AS92" i="2"/>
  <c r="AS90" i="2"/>
  <c r="AS88" i="2"/>
  <c r="AS86" i="2"/>
  <c r="AS84" i="2"/>
  <c r="AS82" i="2"/>
  <c r="AS80" i="2"/>
  <c r="AS78" i="2"/>
  <c r="AS76" i="2"/>
  <c r="AS74" i="2"/>
  <c r="AS72" i="2"/>
  <c r="AS70" i="2"/>
  <c r="AS56" i="2"/>
  <c r="H3" i="8" s="1"/>
  <c r="AS50" i="2"/>
  <c r="AS115" i="2"/>
  <c r="AS97" i="2"/>
  <c r="AS95" i="2"/>
  <c r="H6" i="8" s="1"/>
  <c r="AS93" i="2"/>
  <c r="AS91" i="2"/>
  <c r="AS89" i="2"/>
  <c r="AS87" i="2"/>
  <c r="AS85" i="2"/>
  <c r="AS83" i="2"/>
  <c r="AS81" i="2"/>
  <c r="AS79" i="2"/>
  <c r="AS77" i="2"/>
  <c r="AS75" i="2"/>
  <c r="AS73" i="2"/>
  <c r="AS71" i="2"/>
  <c r="AS69" i="2"/>
  <c r="AS59" i="2"/>
  <c r="AS53" i="2"/>
  <c r="AS68" i="2"/>
  <c r="AR109" i="2"/>
  <c r="AR94" i="2"/>
  <c r="AR96" i="2"/>
  <c r="AR92" i="2"/>
  <c r="AR90" i="2"/>
  <c r="AR88" i="2"/>
  <c r="AR86" i="2"/>
  <c r="AR84" i="2"/>
  <c r="AR82" i="2"/>
  <c r="AR80" i="2"/>
  <c r="AR78" i="2"/>
  <c r="AR76" i="2"/>
  <c r="AR74" i="2"/>
  <c r="AR72" i="2"/>
  <c r="AR70" i="2"/>
  <c r="AR68" i="2"/>
  <c r="AR115" i="2"/>
  <c r="AR97" i="2"/>
  <c r="AR93" i="2"/>
  <c r="AR95" i="2"/>
  <c r="G6" i="8" s="1"/>
  <c r="AR91" i="2"/>
  <c r="AR89" i="2"/>
  <c r="AR87" i="2"/>
  <c r="AR85" i="2"/>
  <c r="AR83" i="2"/>
  <c r="AR81" i="2"/>
  <c r="AR79" i="2"/>
  <c r="AR77" i="2"/>
  <c r="AR75" i="2"/>
  <c r="AR73" i="2"/>
  <c r="AR71" i="2"/>
  <c r="AR69" i="2"/>
  <c r="AV22" i="3"/>
  <c r="G5" i="8" l="1"/>
  <c r="H5" i="8"/>
  <c r="G4" i="8"/>
  <c r="H4" i="8"/>
  <c r="J5" i="8"/>
  <c r="J4" i="8"/>
  <c r="H2" i="8"/>
  <c r="G2" i="8"/>
  <c r="J2" i="8"/>
  <c r="J3" i="8"/>
  <c r="AJ28" i="3"/>
  <c r="AJ27" i="3"/>
  <c r="AJ26" i="3"/>
  <c r="AJ25" i="3"/>
  <c r="AJ24" i="3"/>
  <c r="AP22" i="3"/>
  <c r="AO22" i="3"/>
  <c r="AN22" i="3"/>
  <c r="AM22" i="3"/>
  <c r="AL22" i="3"/>
  <c r="AK22" i="3"/>
  <c r="AJ22" i="3"/>
  <c r="AI22" i="3"/>
  <c r="T28" i="3"/>
  <c r="T27" i="3"/>
  <c r="T26" i="3"/>
  <c r="T25" i="3"/>
  <c r="T24" i="3"/>
  <c r="Z22" i="3"/>
  <c r="Y22" i="3"/>
  <c r="X22" i="3"/>
  <c r="W22" i="3"/>
  <c r="V22" i="3"/>
  <c r="U22" i="3"/>
  <c r="AB27" i="3"/>
  <c r="AB26" i="3"/>
  <c r="AB25" i="3"/>
  <c r="AH22" i="3"/>
  <c r="AG22" i="3"/>
  <c r="AF22" i="3"/>
  <c r="AE22" i="3"/>
  <c r="AD22" i="3"/>
  <c r="AC22" i="3"/>
  <c r="AX27" i="3" l="1"/>
  <c r="B30" i="13"/>
  <c r="A6" i="11"/>
  <c r="BB27" i="3"/>
  <c r="R165" i="3"/>
  <c r="AT27" i="3"/>
  <c r="AU27" i="3" s="1"/>
  <c r="A6" i="4"/>
  <c r="AQ27" i="3"/>
  <c r="A34" i="13"/>
  <c r="Q12" i="3" s="1"/>
  <c r="A35" i="13"/>
  <c r="Q13" i="3" s="1"/>
  <c r="A6" i="8"/>
  <c r="AZ27" i="3"/>
  <c r="B6" i="4"/>
  <c r="AX24" i="3"/>
  <c r="B27" i="13"/>
  <c r="A29" i="13"/>
  <c r="Q7" i="3" s="1"/>
  <c r="A3" i="11"/>
  <c r="BB24" i="3"/>
  <c r="B3" i="4"/>
  <c r="AQ24" i="3"/>
  <c r="A28" i="13"/>
  <c r="Q6" i="3" s="1"/>
  <c r="A3" i="8"/>
  <c r="AZ24" i="3"/>
  <c r="R162" i="3"/>
  <c r="AT24" i="3"/>
  <c r="AU24" i="3" s="1"/>
  <c r="A3" i="4"/>
  <c r="A26" i="13"/>
  <c r="Q4" i="3" s="1"/>
  <c r="AX21" i="3"/>
  <c r="AZ21" i="3"/>
  <c r="B26" i="13"/>
  <c r="AT21" i="3"/>
  <c r="AU21" i="3" s="1"/>
  <c r="AE142" i="2"/>
  <c r="AI9" i="3"/>
  <c r="AF9" i="3"/>
  <c r="L130" i="2"/>
  <c r="H142" i="2"/>
  <c r="AQ21" i="3"/>
  <c r="BB21" i="3"/>
  <c r="R161" i="3"/>
  <c r="A27" i="13"/>
  <c r="Q5" i="3" s="1"/>
  <c r="A2" i="11"/>
  <c r="A2" i="4"/>
  <c r="A2" i="8"/>
  <c r="AN9" i="3"/>
  <c r="AI8" i="3"/>
  <c r="AF5" i="3"/>
  <c r="AK9" i="3"/>
  <c r="AF8" i="3"/>
  <c r="AZ5" i="3"/>
  <c r="AY7" i="3"/>
  <c r="AA130" i="2"/>
  <c r="Q130" i="2"/>
  <c r="I130" i="2"/>
  <c r="AG4" i="3"/>
  <c r="X130" i="2"/>
  <c r="P130" i="2"/>
  <c r="H130" i="2"/>
  <c r="E142" i="2"/>
  <c r="M142" i="2"/>
  <c r="U142" i="2"/>
  <c r="AC142" i="2"/>
  <c r="AF142" i="2"/>
  <c r="F142" i="2"/>
  <c r="N142" i="2"/>
  <c r="V142" i="2"/>
  <c r="AM142" i="2"/>
  <c r="AL9" i="3"/>
  <c r="AG8" i="3"/>
  <c r="AL4" i="3"/>
  <c r="AH9" i="3"/>
  <c r="AG6" i="3"/>
  <c r="AZ6" i="3"/>
  <c r="AY5" i="3"/>
  <c r="AX5" i="3" s="1"/>
  <c r="AF1" i="3"/>
  <c r="AE1" i="3" s="1"/>
  <c r="AK4" i="3"/>
  <c r="S130" i="2"/>
  <c r="K130" i="2"/>
  <c r="AF3" i="3"/>
  <c r="AE3" i="3" s="1"/>
  <c r="Z130" i="2"/>
  <c r="R130" i="2"/>
  <c r="J130" i="2"/>
  <c r="AB130" i="2"/>
  <c r="G142" i="2"/>
  <c r="O142" i="2"/>
  <c r="W142" i="2"/>
  <c r="AL142" i="2"/>
  <c r="AD142" i="2"/>
  <c r="D142" i="2"/>
  <c r="L142" i="2"/>
  <c r="T142" i="2"/>
  <c r="AB142" i="2"/>
  <c r="AG142" i="2"/>
  <c r="AF7" i="3"/>
  <c r="AE7" i="3" s="1"/>
  <c r="AO9" i="3"/>
  <c r="AG5" i="3"/>
  <c r="AY6" i="3"/>
  <c r="AX6" i="3" s="1"/>
  <c r="AH4" i="3"/>
  <c r="U130" i="2"/>
  <c r="M130" i="2"/>
  <c r="AC130" i="2"/>
  <c r="C130" i="2"/>
  <c r="T130" i="2"/>
  <c r="D130" i="2"/>
  <c r="I142" i="2"/>
  <c r="Q142" i="2"/>
  <c r="Y142" i="2"/>
  <c r="AJ142" i="2"/>
  <c r="Y130" i="2"/>
  <c r="J142" i="2"/>
  <c r="R142" i="2"/>
  <c r="Z142" i="2"/>
  <c r="AI142" i="2"/>
  <c r="AG9" i="3"/>
  <c r="AF6" i="3"/>
  <c r="AM9" i="3"/>
  <c r="AH8" i="3"/>
  <c r="AM4" i="3"/>
  <c r="AZ7" i="3"/>
  <c r="BA7" i="3"/>
  <c r="AF4" i="3"/>
  <c r="W130" i="2"/>
  <c r="O130" i="2"/>
  <c r="G130" i="2"/>
  <c r="AI4" i="3"/>
  <c r="V130" i="2"/>
  <c r="N130" i="2"/>
  <c r="F130" i="2"/>
  <c r="C142" i="2"/>
  <c r="K142" i="2"/>
  <c r="S142" i="2"/>
  <c r="AA142" i="2"/>
  <c r="AH142" i="2"/>
  <c r="E130" i="2"/>
  <c r="P142" i="2"/>
  <c r="X142" i="2"/>
  <c r="AK142" i="2"/>
  <c r="AX25" i="3"/>
  <c r="AQ25" i="3"/>
  <c r="A30" i="13"/>
  <c r="Q8" i="3" s="1"/>
  <c r="A31" i="13"/>
  <c r="Q9" i="3" s="1"/>
  <c r="AZ25" i="3"/>
  <c r="A4" i="11"/>
  <c r="BB25" i="3"/>
  <c r="AT25" i="3"/>
  <c r="AU25" i="3" s="1"/>
  <c r="B4" i="4"/>
  <c r="B28" i="13"/>
  <c r="A4" i="8"/>
  <c r="R163" i="3"/>
  <c r="A4" i="4"/>
  <c r="AX26" i="3"/>
  <c r="A32" i="13"/>
  <c r="Q10" i="3" s="1"/>
  <c r="A5" i="8"/>
  <c r="AZ26" i="3"/>
  <c r="R164" i="3"/>
  <c r="A5" i="4"/>
  <c r="AQ26" i="3"/>
  <c r="B29" i="13"/>
  <c r="A33" i="13"/>
  <c r="Q11" i="3" s="1"/>
  <c r="A5" i="11"/>
  <c r="BB26" i="3"/>
  <c r="AT26" i="3"/>
  <c r="AU26" i="3" s="1"/>
  <c r="AQ28" i="3"/>
  <c r="B31" i="13"/>
  <c r="A37" i="13"/>
  <c r="Q15" i="3" s="1"/>
  <c r="A7" i="8"/>
  <c r="AZ28" i="3"/>
  <c r="R166" i="3"/>
  <c r="C31" i="13"/>
  <c r="B7" i="4"/>
  <c r="AX28" i="3"/>
  <c r="A36" i="13"/>
  <c r="Q14" i="3" s="1"/>
  <c r="A7" i="11"/>
  <c r="BB28" i="3"/>
  <c r="AT28" i="3"/>
  <c r="AU28" i="3" s="1"/>
  <c r="A7" i="4"/>
  <c r="BT24" i="13" l="1"/>
  <c r="BH24" i="13"/>
  <c r="AG24" i="13"/>
  <c r="R5" i="4"/>
  <c r="S5" i="4"/>
  <c r="R6" i="4"/>
  <c r="S6" i="4"/>
  <c r="P7" i="4"/>
  <c r="C141" i="2"/>
  <c r="H24" i="13"/>
  <c r="AE8" i="3"/>
  <c r="L15" i="3" s="1"/>
  <c r="BF27" i="3"/>
  <c r="BI27" i="3" s="1"/>
  <c r="BE27" i="3"/>
  <c r="BH27" i="3" s="1"/>
  <c r="BD27" i="3"/>
  <c r="BG27" i="3" s="1"/>
  <c r="BF28" i="3"/>
  <c r="BI28" i="3" s="1"/>
  <c r="BE28" i="3"/>
  <c r="BH28" i="3" s="1"/>
  <c r="T7" i="4"/>
  <c r="AV21" i="3"/>
  <c r="BE25" i="3"/>
  <c r="BH25" i="3" s="1"/>
  <c r="BF25" i="3"/>
  <c r="BI25" i="3" s="1"/>
  <c r="BD25" i="3"/>
  <c r="BG25" i="3" s="1"/>
  <c r="BF24" i="3"/>
  <c r="BI24" i="3" s="1"/>
  <c r="BE24" i="3"/>
  <c r="BH24" i="3" s="1"/>
  <c r="BD24" i="3"/>
  <c r="BG24" i="3" s="1"/>
  <c r="BF21" i="3"/>
  <c r="BI21" i="3" s="1"/>
  <c r="BE21" i="3"/>
  <c r="BH21" i="3" s="1"/>
  <c r="BD21" i="3"/>
  <c r="BG21" i="3" s="1"/>
  <c r="BE26" i="3"/>
  <c r="BH26" i="3" s="1"/>
  <c r="BF26" i="3"/>
  <c r="BI26" i="3" s="1"/>
  <c r="BD26" i="3"/>
  <c r="BG26" i="3" s="1"/>
  <c r="D31" i="13"/>
  <c r="AD18" i="3"/>
  <c r="AD26" i="3" s="1"/>
  <c r="S18" i="3"/>
  <c r="S26" i="3" s="1"/>
  <c r="V18" i="3"/>
  <c r="V26" i="3" s="1"/>
  <c r="X18" i="3"/>
  <c r="X26" i="3" s="1"/>
  <c r="Z18" i="3"/>
  <c r="Z26" i="3" s="1"/>
  <c r="AC18" i="3"/>
  <c r="AC26" i="3" s="1"/>
  <c r="AE18" i="3"/>
  <c r="AE26" i="3" s="1"/>
  <c r="AG18" i="3"/>
  <c r="AG26" i="3" s="1"/>
  <c r="AI18" i="3"/>
  <c r="AI26" i="3" s="1"/>
  <c r="AL18" i="3"/>
  <c r="AL26" i="3" s="1"/>
  <c r="AN18" i="3"/>
  <c r="AN26" i="3" s="1"/>
  <c r="AP18" i="3"/>
  <c r="AP26" i="3" s="1"/>
  <c r="U18" i="3"/>
  <c r="U26" i="3" s="1"/>
  <c r="W18" i="3"/>
  <c r="W26" i="3" s="1"/>
  <c r="Y18" i="3"/>
  <c r="Y26" i="3" s="1"/>
  <c r="AA18" i="3"/>
  <c r="AA26" i="3" s="1"/>
  <c r="AF18" i="3"/>
  <c r="AF26" i="3" s="1"/>
  <c r="AH18" i="3"/>
  <c r="AH26" i="3" s="1"/>
  <c r="AK18" i="3"/>
  <c r="AK26" i="3" s="1"/>
  <c r="AM18" i="3"/>
  <c r="AM26" i="3" s="1"/>
  <c r="AO18" i="3"/>
  <c r="AO26" i="3" s="1"/>
  <c r="AP20" i="3"/>
  <c r="AP28" i="3" s="1"/>
  <c r="U20" i="3"/>
  <c r="U28" i="3" s="1"/>
  <c r="W20" i="3"/>
  <c r="W28" i="3" s="1"/>
  <c r="Y20" i="3"/>
  <c r="Y28" i="3" s="1"/>
  <c r="AA20" i="3"/>
  <c r="AA28" i="3" s="1"/>
  <c r="AD20" i="3"/>
  <c r="AD28" i="3" s="1"/>
  <c r="AF20" i="3"/>
  <c r="AF28" i="3" s="1"/>
  <c r="AH20" i="3"/>
  <c r="AH28" i="3" s="1"/>
  <c r="AK20" i="3"/>
  <c r="AK28" i="3" s="1"/>
  <c r="AM20" i="3"/>
  <c r="AM28" i="3" s="1"/>
  <c r="AO20" i="3"/>
  <c r="AO28" i="3" s="1"/>
  <c r="S20" i="3"/>
  <c r="S28" i="3" s="1"/>
  <c r="V20" i="3"/>
  <c r="V28" i="3" s="1"/>
  <c r="X20" i="3"/>
  <c r="X28" i="3" s="1"/>
  <c r="Z20" i="3"/>
  <c r="Z28" i="3" s="1"/>
  <c r="AC20" i="3"/>
  <c r="AC28" i="3" s="1"/>
  <c r="AE20" i="3"/>
  <c r="AE28" i="3" s="1"/>
  <c r="AG20" i="3"/>
  <c r="AG28" i="3" s="1"/>
  <c r="AI20" i="3"/>
  <c r="AI28" i="3" s="1"/>
  <c r="AL20" i="3"/>
  <c r="AL28" i="3" s="1"/>
  <c r="AN20" i="3"/>
  <c r="AN28" i="3" s="1"/>
  <c r="AP17" i="3"/>
  <c r="AP25" i="3" s="1"/>
  <c r="U17" i="3"/>
  <c r="U25" i="3" s="1"/>
  <c r="W17" i="3"/>
  <c r="W25" i="3" s="1"/>
  <c r="Y17" i="3"/>
  <c r="Y25" i="3" s="1"/>
  <c r="AA17" i="3"/>
  <c r="AA25" i="3" s="1"/>
  <c r="AD17" i="3"/>
  <c r="AD25" i="3" s="1"/>
  <c r="AF17" i="3"/>
  <c r="AF25" i="3" s="1"/>
  <c r="AH17" i="3"/>
  <c r="AH25" i="3" s="1"/>
  <c r="AK17" i="3"/>
  <c r="AK25" i="3" s="1"/>
  <c r="AM17" i="3"/>
  <c r="AM25" i="3" s="1"/>
  <c r="AO17" i="3"/>
  <c r="AO25" i="3" s="1"/>
  <c r="S17" i="3"/>
  <c r="S25" i="3" s="1"/>
  <c r="V17" i="3"/>
  <c r="V25" i="3" s="1"/>
  <c r="X17" i="3"/>
  <c r="X25" i="3" s="1"/>
  <c r="Z17" i="3"/>
  <c r="Z25" i="3" s="1"/>
  <c r="AC17" i="3"/>
  <c r="AC25" i="3" s="1"/>
  <c r="AE17" i="3"/>
  <c r="AE25" i="3" s="1"/>
  <c r="AG17" i="3"/>
  <c r="AG25" i="3" s="1"/>
  <c r="AI17" i="3"/>
  <c r="AI25" i="3" s="1"/>
  <c r="AL17" i="3"/>
  <c r="AL25" i="3" s="1"/>
  <c r="AN17" i="3"/>
  <c r="AN25" i="3" s="1"/>
  <c r="U7" i="4"/>
  <c r="V7" i="4"/>
  <c r="G2" i="4"/>
  <c r="G3" i="4" s="1"/>
  <c r="F2" i="4"/>
  <c r="F3" i="4" s="1"/>
  <c r="J2" i="4"/>
  <c r="J3" i="4" s="1"/>
  <c r="J11" i="4" s="1"/>
  <c r="E2" i="4"/>
  <c r="E3" i="4" s="1"/>
  <c r="D2" i="4"/>
  <c r="D3" i="4" s="1"/>
  <c r="C2" i="4"/>
  <c r="C3" i="4" s="1"/>
  <c r="I2" i="4"/>
  <c r="I3" i="4" s="1"/>
  <c r="K2" i="4"/>
  <c r="K3" i="4" s="1"/>
  <c r="K11" i="4" s="1"/>
  <c r="G23" i="4" s="1"/>
  <c r="H2" i="4"/>
  <c r="H3" i="4" s="1"/>
  <c r="S19" i="3"/>
  <c r="S27" i="3" s="1"/>
  <c r="V19" i="3"/>
  <c r="V27" i="3" s="1"/>
  <c r="X19" i="3"/>
  <c r="X27" i="3" s="1"/>
  <c r="Z19" i="3"/>
  <c r="Z27" i="3" s="1"/>
  <c r="AC19" i="3"/>
  <c r="AC27" i="3" s="1"/>
  <c r="AE19" i="3"/>
  <c r="AE27" i="3" s="1"/>
  <c r="AG19" i="3"/>
  <c r="AG27" i="3" s="1"/>
  <c r="AI19" i="3"/>
  <c r="AI27" i="3" s="1"/>
  <c r="AL19" i="3"/>
  <c r="AL27" i="3" s="1"/>
  <c r="AN19" i="3"/>
  <c r="AN27" i="3" s="1"/>
  <c r="AP19" i="3"/>
  <c r="AP27" i="3" s="1"/>
  <c r="U19" i="3"/>
  <c r="U27" i="3" s="1"/>
  <c r="W19" i="3"/>
  <c r="W27" i="3" s="1"/>
  <c r="Y19" i="3"/>
  <c r="Y27" i="3" s="1"/>
  <c r="AA19" i="3"/>
  <c r="AA27" i="3" s="1"/>
  <c r="AD19" i="3"/>
  <c r="AD27" i="3" s="1"/>
  <c r="AF19" i="3"/>
  <c r="AF27" i="3" s="1"/>
  <c r="AH19" i="3"/>
  <c r="AH27" i="3" s="1"/>
  <c r="AK19" i="3"/>
  <c r="AK27" i="3" s="1"/>
  <c r="AM19" i="3"/>
  <c r="AM27" i="3" s="1"/>
  <c r="AO19" i="3"/>
  <c r="AO27" i="3" s="1"/>
  <c r="AE4" i="3"/>
  <c r="L13" i="3" s="1"/>
  <c r="AE6" i="3"/>
  <c r="AX7" i="3"/>
  <c r="AE5" i="3"/>
  <c r="BC21" i="3"/>
  <c r="AE9" i="3"/>
  <c r="BA21" i="3"/>
  <c r="AN10" i="3"/>
  <c r="AN21" i="3" s="1"/>
  <c r="AP10" i="3"/>
  <c r="AP21" i="3" s="1"/>
  <c r="X10" i="3"/>
  <c r="X21" i="3" s="1"/>
  <c r="AD10" i="3"/>
  <c r="AD21" i="3" s="1"/>
  <c r="AE10" i="3"/>
  <c r="AE21" i="3" s="1"/>
  <c r="AO10" i="3"/>
  <c r="AO21" i="3" s="1"/>
  <c r="W10" i="3"/>
  <c r="W21" i="3" s="1"/>
  <c r="AL10" i="3"/>
  <c r="AL21" i="3" s="1"/>
  <c r="AH10" i="3"/>
  <c r="AH21" i="3" s="1"/>
  <c r="Z10" i="3"/>
  <c r="Z21" i="3" s="1"/>
  <c r="AA10" i="3"/>
  <c r="AA21" i="3" s="1"/>
  <c r="S10" i="3"/>
  <c r="S21" i="3" s="1"/>
  <c r="AG10" i="3"/>
  <c r="AG21" i="3" s="1"/>
  <c r="U10" i="3"/>
  <c r="U21" i="3" s="1"/>
  <c r="V10" i="3"/>
  <c r="V21" i="3" s="1"/>
  <c r="AF10" i="3"/>
  <c r="AF21" i="3" s="1"/>
  <c r="AM10" i="3"/>
  <c r="AM21" i="3" s="1"/>
  <c r="AC10" i="3"/>
  <c r="AC21" i="3" s="1"/>
  <c r="AI10" i="3"/>
  <c r="AI21" i="3" s="1"/>
  <c r="AK10" i="3"/>
  <c r="AK21" i="3" s="1"/>
  <c r="Y10" i="3"/>
  <c r="Y21" i="3" s="1"/>
  <c r="AR25" i="3"/>
  <c r="AR26" i="3"/>
  <c r="AY23" i="3"/>
  <c r="AY21" i="3"/>
  <c r="AY25" i="3"/>
  <c r="AY26" i="3"/>
  <c r="AY22" i="3"/>
  <c r="AY24" i="3"/>
  <c r="AY28" i="3"/>
  <c r="AY27" i="3"/>
  <c r="BQ24" i="13"/>
  <c r="AH24" i="13"/>
  <c r="C30" i="13" s="1"/>
  <c r="D30" i="13" s="1"/>
  <c r="BB24" i="13"/>
  <c r="CT24" i="13"/>
  <c r="AS24" i="13"/>
  <c r="AI24" i="13"/>
  <c r="CU24" i="13"/>
  <c r="CV24" i="13"/>
  <c r="S16" i="3"/>
  <c r="S24" i="3" s="1"/>
  <c r="AM16" i="3"/>
  <c r="AM24" i="3" s="1"/>
  <c r="AK16" i="3"/>
  <c r="AK24" i="3" s="1"/>
  <c r="AA16" i="3"/>
  <c r="AA24" i="3" s="1"/>
  <c r="AL16" i="3"/>
  <c r="AL24" i="3" s="1"/>
  <c r="AC16" i="3"/>
  <c r="AC24" i="3" s="1"/>
  <c r="Z16" i="3"/>
  <c r="Z24" i="3" s="1"/>
  <c r="AO16" i="3"/>
  <c r="AO24" i="3" s="1"/>
  <c r="AD16" i="3"/>
  <c r="AD24" i="3" s="1"/>
  <c r="AN16" i="3"/>
  <c r="AN24" i="3" s="1"/>
  <c r="AP16" i="3"/>
  <c r="AP24" i="3" s="1"/>
  <c r="X16" i="3"/>
  <c r="X24" i="3" s="1"/>
  <c r="AE16" i="3"/>
  <c r="AE24" i="3" s="1"/>
  <c r="W16" i="3"/>
  <c r="W24" i="3" s="1"/>
  <c r="AF16" i="3"/>
  <c r="AF24" i="3" s="1"/>
  <c r="U16" i="3"/>
  <c r="U24" i="3" s="1"/>
  <c r="AG16" i="3"/>
  <c r="AG24" i="3" s="1"/>
  <c r="AI16" i="3"/>
  <c r="AI24" i="3" s="1"/>
  <c r="Y16" i="3"/>
  <c r="Y24" i="3" s="1"/>
  <c r="AH16" i="3"/>
  <c r="AH24" i="3" s="1"/>
  <c r="V16" i="3"/>
  <c r="V24" i="3" s="1"/>
  <c r="C129" i="2"/>
  <c r="M10" i="3" s="1"/>
  <c r="L14" i="3" l="1"/>
  <c r="C29" i="13"/>
  <c r="D29" i="13" s="1"/>
  <c r="W7" i="4"/>
  <c r="I7" i="4" s="1"/>
  <c r="BJ23" i="3"/>
  <c r="BJ25" i="3"/>
  <c r="BJ27" i="3"/>
  <c r="BJ21" i="3"/>
  <c r="BJ22" i="3"/>
  <c r="BJ26" i="3"/>
  <c r="BJ28" i="3"/>
  <c r="BJ24" i="3"/>
  <c r="BK23" i="3"/>
  <c r="BK25" i="3"/>
  <c r="BK27" i="3"/>
  <c r="BK21" i="3"/>
  <c r="BK24" i="3"/>
  <c r="BK26" i="3"/>
  <c r="BK22" i="3"/>
  <c r="BK28" i="3"/>
  <c r="BL23" i="3"/>
  <c r="BL25" i="3"/>
  <c r="BL27" i="3"/>
  <c r="BL21" i="3"/>
  <c r="BL24" i="3"/>
  <c r="BL26" i="3"/>
  <c r="BL28" i="3"/>
  <c r="BL22" i="3"/>
  <c r="AR27" i="3"/>
  <c r="M4" i="3" s="1"/>
  <c r="T6" i="4"/>
  <c r="I6" i="4" s="1"/>
  <c r="T5" i="4"/>
  <c r="I5" i="4" s="1"/>
  <c r="C26" i="13"/>
  <c r="D26" i="13" s="1"/>
  <c r="C27" i="13"/>
  <c r="D27" i="13" s="1"/>
  <c r="C28" i="13"/>
  <c r="D28" i="13" s="1"/>
  <c r="G22" i="4"/>
  <c r="C11" i="4"/>
  <c r="D4" i="4"/>
  <c r="D11" i="4" s="1"/>
  <c r="E4" i="4"/>
  <c r="E11" i="4" s="1"/>
  <c r="H11" i="4"/>
  <c r="G11" i="4"/>
  <c r="F8" i="4"/>
  <c r="F11" i="4" s="1"/>
  <c r="D12" i="4" l="1"/>
  <c r="AG11" i="20" s="1"/>
  <c r="AF28" i="20" s="1"/>
  <c r="E28" i="13"/>
  <c r="E26" i="13"/>
  <c r="E27" i="13"/>
  <c r="I11" i="4"/>
  <c r="F15" i="4" s="1"/>
  <c r="AE36" i="20" l="1"/>
  <c r="A36" i="20" s="1"/>
  <c r="F26" i="13"/>
  <c r="M5" i="3" s="1"/>
  <c r="AC33" i="20" s="1"/>
  <c r="G20" i="4"/>
  <c r="G16" i="4"/>
  <c r="G21" i="4"/>
  <c r="G17" i="4"/>
  <c r="G19" i="4"/>
  <c r="G18" i="4"/>
  <c r="H15" i="4"/>
  <c r="H23" i="4"/>
  <c r="P28" i="20" l="1"/>
  <c r="J11" i="8"/>
  <c r="K11" i="8"/>
  <c r="G23" i="8" s="1"/>
  <c r="E11" i="8"/>
  <c r="F11" i="8"/>
  <c r="I11" i="8"/>
  <c r="D11" i="8"/>
  <c r="C11" i="8" s="1"/>
  <c r="H11" i="8"/>
  <c r="G11" i="8" s="1"/>
  <c r="F16" i="4"/>
  <c r="H16" i="4" s="1"/>
  <c r="P21" i="3"/>
  <c r="P19" i="3"/>
  <c r="P17" i="3"/>
  <c r="P22" i="3"/>
  <c r="P20" i="3"/>
  <c r="P18" i="3"/>
  <c r="D11" i="11"/>
  <c r="R17" i="3"/>
  <c r="AK133" i="2" s="1"/>
  <c r="AL133" i="2" s="1"/>
  <c r="C11" i="11"/>
  <c r="Q17" i="3"/>
  <c r="AK132" i="2" s="1"/>
  <c r="AL132" i="2" s="1"/>
  <c r="AR21" i="3"/>
  <c r="AI30" i="3" s="1"/>
  <c r="AJ30" i="3" s="1"/>
  <c r="E11" i="11"/>
  <c r="G17" i="11" s="1"/>
  <c r="P30" i="20" l="1"/>
  <c r="P29" i="20"/>
  <c r="F17" i="4"/>
  <c r="H17" i="4" s="1"/>
  <c r="F15" i="8"/>
  <c r="AA52" i="3"/>
  <c r="AI54" i="3"/>
  <c r="AA54" i="3"/>
  <c r="AA31" i="3"/>
  <c r="AA71" i="3"/>
  <c r="AI42" i="3"/>
  <c r="S56" i="3"/>
  <c r="AI34" i="3"/>
  <c r="AI37" i="3"/>
  <c r="AJ37" i="3" s="1"/>
  <c r="AA46" i="3"/>
  <c r="AA47" i="3"/>
  <c r="AI69" i="3"/>
  <c r="AI57" i="3"/>
  <c r="AA33" i="3"/>
  <c r="AI53" i="3"/>
  <c r="AA34" i="3"/>
  <c r="S69" i="3"/>
  <c r="AI55" i="3"/>
  <c r="S71" i="3"/>
  <c r="S36" i="3"/>
  <c r="AI35" i="3"/>
  <c r="S61" i="3"/>
  <c r="AA69" i="3"/>
  <c r="AI51" i="3"/>
  <c r="AJ51" i="3" s="1"/>
  <c r="S67" i="3"/>
  <c r="AI39" i="3"/>
  <c r="S49" i="3"/>
  <c r="S43" i="3"/>
  <c r="G17" i="8"/>
  <c r="G18" i="8"/>
  <c r="G16" i="8"/>
  <c r="G22" i="8"/>
  <c r="AA42" i="3"/>
  <c r="AA40" i="3"/>
  <c r="AI38" i="3"/>
  <c r="AA67" i="3"/>
  <c r="AA49" i="3"/>
  <c r="G19" i="8"/>
  <c r="F15" i="11"/>
  <c r="AI44" i="3"/>
  <c r="AJ44" i="3" s="1"/>
  <c r="S31" i="3"/>
  <c r="S51" i="3"/>
  <c r="T51" i="3" s="1"/>
  <c r="S50" i="3"/>
  <c r="AI64" i="3"/>
  <c r="AA43" i="3"/>
  <c r="S59" i="3"/>
  <c r="AI56" i="3"/>
  <c r="AA56" i="3"/>
  <c r="S42" i="3"/>
  <c r="AI45" i="3"/>
  <c r="AA53" i="3"/>
  <c r="AA55" i="3"/>
  <c r="S46" i="3"/>
  <c r="AI32" i="3"/>
  <c r="S30" i="3"/>
  <c r="T30" i="3" s="1"/>
  <c r="AI60" i="3"/>
  <c r="AA59" i="3"/>
  <c r="S45" i="3"/>
  <c r="AI66" i="3"/>
  <c r="AI48" i="3"/>
  <c r="AA64" i="3"/>
  <c r="S44" i="3"/>
  <c r="T44" i="3" s="1"/>
  <c r="AI63" i="3"/>
  <c r="AA37" i="3"/>
  <c r="AB37" i="3" s="1"/>
  <c r="S55" i="3"/>
  <c r="AA61" i="3"/>
  <c r="AA44" i="3"/>
  <c r="AB44" i="3" s="1"/>
  <c r="S34" i="3"/>
  <c r="S47" i="3"/>
  <c r="G21" i="8"/>
  <c r="G20" i="8"/>
  <c r="AI62" i="3"/>
  <c r="AI67" i="3"/>
  <c r="AA58" i="3"/>
  <c r="AB58" i="3" s="1"/>
  <c r="S48" i="3"/>
  <c r="AI41" i="3"/>
  <c r="AA36" i="3"/>
  <c r="S66" i="3"/>
  <c r="S70" i="3"/>
  <c r="AA66" i="3"/>
  <c r="S62" i="3"/>
  <c r="AA35" i="3"/>
  <c r="AI59" i="3"/>
  <c r="AA51" i="3"/>
  <c r="AB51" i="3" s="1"/>
  <c r="S54" i="3"/>
  <c r="AI65" i="3"/>
  <c r="AJ65" i="3" s="1"/>
  <c r="S68" i="3"/>
  <c r="AI36" i="3"/>
  <c r="AA32" i="3"/>
  <c r="S52" i="3"/>
  <c r="S63" i="3"/>
  <c r="AA45" i="3"/>
  <c r="AA60" i="3"/>
  <c r="S65" i="3"/>
  <c r="T65" i="3" s="1"/>
  <c r="T66" i="3" s="1"/>
  <c r="S41" i="3"/>
  <c r="AA70" i="3"/>
  <c r="S64" i="3"/>
  <c r="AI61" i="3"/>
  <c r="AI43" i="3"/>
  <c r="AA68" i="3"/>
  <c r="S60" i="3"/>
  <c r="AI49" i="3"/>
  <c r="S33" i="3"/>
  <c r="AI40" i="3"/>
  <c r="AI46" i="3"/>
  <c r="AA30" i="3"/>
  <c r="AB30" i="3" s="1"/>
  <c r="S53" i="3"/>
  <c r="AI33" i="3"/>
  <c r="AI71" i="3"/>
  <c r="S39" i="3"/>
  <c r="AA39" i="3"/>
  <c r="S37" i="3"/>
  <c r="T37" i="3" s="1"/>
  <c r="AI70" i="3"/>
  <c r="AI52" i="3"/>
  <c r="S58" i="3"/>
  <c r="T58" i="3" s="1"/>
  <c r="AI58" i="3"/>
  <c r="AJ58" i="3" s="1"/>
  <c r="AJ59" i="3" s="1"/>
  <c r="AJ60" i="3" s="1"/>
  <c r="AJ61" i="3" s="1"/>
  <c r="AJ62" i="3" s="1"/>
  <c r="AJ63" i="3" s="1"/>
  <c r="AJ64" i="3" s="1"/>
  <c r="AA41" i="3"/>
  <c r="AA65" i="3"/>
  <c r="AB65" i="3" s="1"/>
  <c r="AB66" i="3" s="1"/>
  <c r="AB67" i="3" s="1"/>
  <c r="AB68" i="3" s="1"/>
  <c r="AB69" i="3" s="1"/>
  <c r="AB70" i="3" s="1"/>
  <c r="AB71" i="3" s="1"/>
  <c r="AA50" i="3"/>
  <c r="S35" i="3"/>
  <c r="AI50" i="3"/>
  <c r="AI31" i="3"/>
  <c r="AJ31" i="3" s="1"/>
  <c r="AA63" i="3"/>
  <c r="S57" i="3"/>
  <c r="AI47" i="3"/>
  <c r="S38" i="3"/>
  <c r="S40" i="3"/>
  <c r="AI68" i="3"/>
  <c r="AA62" i="3"/>
  <c r="S32" i="3"/>
  <c r="AA57" i="3"/>
  <c r="AA38" i="3"/>
  <c r="AA48" i="3"/>
  <c r="G16" i="11"/>
  <c r="AJ66" i="3" l="1"/>
  <c r="AJ67" i="3" s="1"/>
  <c r="AJ68" i="3" s="1"/>
  <c r="AJ69" i="3" s="1"/>
  <c r="AJ70" i="3" s="1"/>
  <c r="AJ71" i="3" s="1"/>
  <c r="T67" i="3"/>
  <c r="T68" i="3" s="1"/>
  <c r="T69" i="3" s="1"/>
  <c r="T70" i="3" s="1"/>
  <c r="T71" i="3" s="1"/>
  <c r="F18" i="4"/>
  <c r="H18" i="4" s="1"/>
  <c r="H15" i="8"/>
  <c r="F16" i="8"/>
  <c r="H16" i="8" s="1"/>
  <c r="AB59" i="3"/>
  <c r="AB60" i="3" s="1"/>
  <c r="AB61" i="3" s="1"/>
  <c r="AB62" i="3" s="1"/>
  <c r="AB63" i="3" s="1"/>
  <c r="AB64" i="3" s="1"/>
  <c r="T59" i="3"/>
  <c r="T60" i="3" s="1"/>
  <c r="T61" i="3" s="1"/>
  <c r="T62" i="3" s="1"/>
  <c r="T63" i="3" s="1"/>
  <c r="T64" i="3" s="1"/>
  <c r="AB52" i="3"/>
  <c r="AB53" i="3" s="1"/>
  <c r="AB54" i="3" s="1"/>
  <c r="AB55" i="3" s="1"/>
  <c r="AB56" i="3" s="1"/>
  <c r="AB57" i="3" s="1"/>
  <c r="AB45" i="3"/>
  <c r="AB46" i="3" s="1"/>
  <c r="AB47" i="3" s="1"/>
  <c r="AB48" i="3" s="1"/>
  <c r="AB49" i="3" s="1"/>
  <c r="AB50" i="3" s="1"/>
  <c r="T45" i="3"/>
  <c r="T46" i="3" s="1"/>
  <c r="T47" i="3" s="1"/>
  <c r="T48" i="3" s="1"/>
  <c r="T49" i="3" s="1"/>
  <c r="T50" i="3" s="1"/>
  <c r="F16" i="11"/>
  <c r="F17" i="11" s="1"/>
  <c r="H17" i="11" s="1"/>
  <c r="T52" i="3"/>
  <c r="T53" i="3" s="1"/>
  <c r="T54" i="3" s="1"/>
  <c r="T55" i="3" s="1"/>
  <c r="T56" i="3" s="1"/>
  <c r="T57" i="3" s="1"/>
  <c r="AJ45" i="3"/>
  <c r="AJ46" i="3" s="1"/>
  <c r="AJ47" i="3" s="1"/>
  <c r="AJ48" i="3" s="1"/>
  <c r="AJ49" i="3" s="1"/>
  <c r="AJ50" i="3" s="1"/>
  <c r="AJ52" i="3"/>
  <c r="AJ53" i="3" s="1"/>
  <c r="AJ54" i="3" s="1"/>
  <c r="AJ55" i="3" s="1"/>
  <c r="AJ56" i="3" s="1"/>
  <c r="AJ57" i="3" s="1"/>
  <c r="AB31" i="3"/>
  <c r="AB32" i="3" s="1"/>
  <c r="AB33" i="3" s="1"/>
  <c r="AB34" i="3" s="1"/>
  <c r="AB35" i="3" s="1"/>
  <c r="AB36" i="3" s="1"/>
  <c r="AJ38" i="3"/>
  <c r="AJ39" i="3" s="1"/>
  <c r="AJ40" i="3" s="1"/>
  <c r="AJ41" i="3" s="1"/>
  <c r="AJ42" i="3" s="1"/>
  <c r="AJ43" i="3" s="1"/>
  <c r="AB38" i="3"/>
  <c r="AB39" i="3" s="1"/>
  <c r="AB40" i="3" s="1"/>
  <c r="AB41" i="3" s="1"/>
  <c r="AB42" i="3" s="1"/>
  <c r="AB43" i="3" s="1"/>
  <c r="AJ32" i="3"/>
  <c r="AJ33" i="3" s="1"/>
  <c r="AJ34" i="3" s="1"/>
  <c r="AJ35" i="3" s="1"/>
  <c r="AJ36" i="3" s="1"/>
  <c r="T31" i="3"/>
  <c r="T32" i="3" s="1"/>
  <c r="T33" i="3" s="1"/>
  <c r="T34" i="3" s="1"/>
  <c r="T35" i="3" s="1"/>
  <c r="T36" i="3" s="1"/>
  <c r="H15" i="11"/>
  <c r="T38" i="3"/>
  <c r="F19" i="4" l="1"/>
  <c r="F20" i="4" s="1"/>
  <c r="F21" i="4" s="1"/>
  <c r="F17" i="8"/>
  <c r="H17" i="8" s="1"/>
  <c r="H16" i="11"/>
  <c r="AL40" i="3"/>
  <c r="AD57" i="3"/>
  <c r="AL63" i="3"/>
  <c r="AL60" i="3"/>
  <c r="AL48" i="3"/>
  <c r="AL42" i="3"/>
  <c r="AL64" i="3"/>
  <c r="AL32" i="3"/>
  <c r="AL31" i="3"/>
  <c r="AL51" i="3"/>
  <c r="AL47" i="3"/>
  <c r="AL58" i="3"/>
  <c r="AL62" i="3"/>
  <c r="AL37" i="3"/>
  <c r="AL53" i="3"/>
  <c r="AL61" i="3"/>
  <c r="AD41" i="3"/>
  <c r="AL65" i="3"/>
  <c r="AL30" i="3"/>
  <c r="AL45" i="3"/>
  <c r="AL46" i="3"/>
  <c r="AL33" i="3"/>
  <c r="AL50" i="3"/>
  <c r="AL39" i="3"/>
  <c r="AL59" i="3"/>
  <c r="AL49" i="3"/>
  <c r="AL55" i="3"/>
  <c r="AL36" i="3"/>
  <c r="AL34" i="3"/>
  <c r="AL35" i="3"/>
  <c r="AL38" i="3"/>
  <c r="AD63" i="3"/>
  <c r="AD34" i="3"/>
  <c r="AD59" i="3"/>
  <c r="AD56" i="3"/>
  <c r="AD50" i="3"/>
  <c r="AD52" i="3"/>
  <c r="AD64" i="3"/>
  <c r="AD61" i="3"/>
  <c r="AD60" i="3"/>
  <c r="AD68" i="3"/>
  <c r="AD45" i="3"/>
  <c r="AD35" i="3"/>
  <c r="AD32" i="3"/>
  <c r="AD31" i="3"/>
  <c r="AL69" i="3"/>
  <c r="AL71" i="3"/>
  <c r="AM71" i="3" s="1"/>
  <c r="AL56" i="3"/>
  <c r="AL66" i="3"/>
  <c r="AL57" i="3"/>
  <c r="AL52" i="3"/>
  <c r="AD37" i="3"/>
  <c r="AL67" i="3"/>
  <c r="AL70" i="3"/>
  <c r="AL54" i="3"/>
  <c r="AL41" i="3"/>
  <c r="AL43" i="3"/>
  <c r="AD39" i="3"/>
  <c r="AL44" i="3"/>
  <c r="AL68" i="3"/>
  <c r="AD66" i="3"/>
  <c r="AD48" i="3"/>
  <c r="AD40" i="3"/>
  <c r="T39" i="3"/>
  <c r="AD58" i="3"/>
  <c r="AD36" i="3"/>
  <c r="AD62" i="3"/>
  <c r="AD49" i="3"/>
  <c r="AD71" i="3"/>
  <c r="AE71" i="3" s="1"/>
  <c r="AD33" i="3"/>
  <c r="AD44" i="3"/>
  <c r="AD53" i="3"/>
  <c r="AD38" i="3"/>
  <c r="AD46" i="3"/>
  <c r="AD42" i="3"/>
  <c r="AD30" i="3"/>
  <c r="AD47" i="3"/>
  <c r="AD70" i="3"/>
  <c r="AD55" i="3"/>
  <c r="AD65" i="3"/>
  <c r="AD51" i="3"/>
  <c r="AD69" i="3"/>
  <c r="AD43" i="3"/>
  <c r="AD54" i="3"/>
  <c r="AD67" i="3"/>
  <c r="AE43" i="3" l="1"/>
  <c r="H20" i="4"/>
  <c r="H19" i="4"/>
  <c r="F18" i="8"/>
  <c r="F19" i="8" s="1"/>
  <c r="F20" i="8" s="1"/>
  <c r="H20" i="8" s="1"/>
  <c r="AE56" i="3"/>
  <c r="AM63" i="3"/>
  <c r="AM39" i="3"/>
  <c r="AM40" i="3"/>
  <c r="AM57" i="3"/>
  <c r="AM50" i="3"/>
  <c r="AE40" i="3"/>
  <c r="AM35" i="3"/>
  <c r="AM70" i="3"/>
  <c r="AM61" i="3"/>
  <c r="AM58" i="3"/>
  <c r="AM59" i="3"/>
  <c r="AM54" i="3"/>
  <c r="AM51" i="3"/>
  <c r="AM36" i="3"/>
  <c r="AM48" i="3"/>
  <c r="AM64" i="3"/>
  <c r="AM52" i="3"/>
  <c r="AM62" i="3"/>
  <c r="AM47" i="3"/>
  <c r="AE61" i="3"/>
  <c r="AE58" i="3"/>
  <c r="AM65" i="3"/>
  <c r="AM60" i="3"/>
  <c r="AM46" i="3"/>
  <c r="AE68" i="3"/>
  <c r="AE52" i="3"/>
  <c r="AE49" i="3"/>
  <c r="AM44" i="3"/>
  <c r="AM42" i="3"/>
  <c r="AM38" i="3"/>
  <c r="AE59" i="3"/>
  <c r="AE63" i="3"/>
  <c r="AM34" i="3"/>
  <c r="AE47" i="3"/>
  <c r="AE60" i="3"/>
  <c r="AM37" i="3"/>
  <c r="AM49" i="3"/>
  <c r="AE55" i="3"/>
  <c r="AE38" i="3"/>
  <c r="AE44" i="3"/>
  <c r="AM33" i="3"/>
  <c r="AM45" i="3"/>
  <c r="AE36" i="3"/>
  <c r="AM67" i="3"/>
  <c r="AM69" i="3"/>
  <c r="AE69" i="3"/>
  <c r="AE66" i="3"/>
  <c r="AM41" i="3"/>
  <c r="AM43" i="3"/>
  <c r="AE48" i="3"/>
  <c r="AM66" i="3"/>
  <c r="AM56" i="3"/>
  <c r="AM55" i="3"/>
  <c r="AE57" i="3"/>
  <c r="AE35" i="3"/>
  <c r="AE39" i="3"/>
  <c r="AM53" i="3"/>
  <c r="AE33" i="3"/>
  <c r="AM32" i="3"/>
  <c r="AM30" i="3"/>
  <c r="AM68" i="3"/>
  <c r="AE45" i="3"/>
  <c r="AE34" i="3"/>
  <c r="AM31" i="3"/>
  <c r="AE31" i="3"/>
  <c r="AE67" i="3"/>
  <c r="AE32" i="3"/>
  <c r="AE50" i="3"/>
  <c r="AE51" i="3"/>
  <c r="AE42" i="3"/>
  <c r="AE41" i="3"/>
  <c r="AE65" i="3"/>
  <c r="AE64" i="3"/>
  <c r="T40" i="3"/>
  <c r="AE37" i="3"/>
  <c r="AE70" i="3"/>
  <c r="AE30" i="3"/>
  <c r="AE62" i="3"/>
  <c r="AE54" i="3"/>
  <c r="AE46" i="3"/>
  <c r="AE53" i="3"/>
  <c r="H21" i="4"/>
  <c r="F22" i="4"/>
  <c r="F21" i="8" l="1"/>
  <c r="H21" i="8" s="1"/>
  <c r="H19" i="8"/>
  <c r="H18" i="8"/>
  <c r="AN71" i="3"/>
  <c r="AP155" i="3" s="1"/>
  <c r="AQ155" i="3" s="1"/>
  <c r="AN57" i="3"/>
  <c r="AP141" i="3" s="1"/>
  <c r="AQ141" i="3" s="1"/>
  <c r="AN63" i="3"/>
  <c r="AP147" i="3" s="1"/>
  <c r="AQ147" i="3" s="1"/>
  <c r="AN43" i="3"/>
  <c r="AP127" i="3" s="1"/>
  <c r="AQ127" i="3" s="1"/>
  <c r="AN39" i="3"/>
  <c r="AP123" i="3" s="1"/>
  <c r="AQ123" i="3" s="1"/>
  <c r="AN67" i="3"/>
  <c r="AP151" i="3" s="1"/>
  <c r="AQ151" i="3" s="1"/>
  <c r="AN69" i="3"/>
  <c r="AP153" i="3" s="1"/>
  <c r="AQ153" i="3" s="1"/>
  <c r="AN37" i="3"/>
  <c r="AP121" i="3" s="1"/>
  <c r="AQ121" i="3" s="1"/>
  <c r="AN54" i="3"/>
  <c r="AP138" i="3" s="1"/>
  <c r="AQ138" i="3" s="1"/>
  <c r="AN68" i="3"/>
  <c r="AP152" i="3" s="1"/>
  <c r="AQ152" i="3" s="1"/>
  <c r="AN60" i="3"/>
  <c r="AP144" i="3" s="1"/>
  <c r="AQ144" i="3" s="1"/>
  <c r="AN65" i="3"/>
  <c r="AP149" i="3" s="1"/>
  <c r="AQ149" i="3" s="1"/>
  <c r="AF37" i="3"/>
  <c r="AP79" i="3" s="1"/>
  <c r="AQ79" i="3" s="1"/>
  <c r="AN49" i="3"/>
  <c r="AP133" i="3" s="1"/>
  <c r="AQ133" i="3" s="1"/>
  <c r="AN30" i="3"/>
  <c r="AP114" i="3" s="1"/>
  <c r="AQ114" i="3" s="1"/>
  <c r="AN45" i="3"/>
  <c r="AP129" i="3" s="1"/>
  <c r="AQ129" i="3" s="1"/>
  <c r="AN70" i="3"/>
  <c r="AP154" i="3" s="1"/>
  <c r="AQ154" i="3" s="1"/>
  <c r="AN58" i="3"/>
  <c r="AP142" i="3" s="1"/>
  <c r="AQ142" i="3" s="1"/>
  <c r="AN50" i="3"/>
  <c r="AP134" i="3" s="1"/>
  <c r="AQ134" i="3" s="1"/>
  <c r="AN36" i="3"/>
  <c r="AP120" i="3" s="1"/>
  <c r="AQ120" i="3" s="1"/>
  <c r="AN56" i="3"/>
  <c r="AP140" i="3" s="1"/>
  <c r="AQ140" i="3" s="1"/>
  <c r="AN41" i="3"/>
  <c r="AP125" i="3" s="1"/>
  <c r="AQ125" i="3" s="1"/>
  <c r="AN32" i="3"/>
  <c r="AP116" i="3" s="1"/>
  <c r="AQ116" i="3" s="1"/>
  <c r="AN52" i="3"/>
  <c r="AP136" i="3" s="1"/>
  <c r="AQ136" i="3" s="1"/>
  <c r="AN51" i="3"/>
  <c r="AP135" i="3" s="1"/>
  <c r="AQ135" i="3" s="1"/>
  <c r="AN33" i="3"/>
  <c r="AP117" i="3" s="1"/>
  <c r="AQ117" i="3" s="1"/>
  <c r="AN55" i="3"/>
  <c r="AP139" i="3" s="1"/>
  <c r="AQ139" i="3" s="1"/>
  <c r="AN53" i="3"/>
  <c r="AP137" i="3" s="1"/>
  <c r="AQ137" i="3" s="1"/>
  <c r="AN66" i="3"/>
  <c r="AP150" i="3" s="1"/>
  <c r="AQ150" i="3" s="1"/>
  <c r="AN40" i="3"/>
  <c r="AP124" i="3" s="1"/>
  <c r="AQ124" i="3" s="1"/>
  <c r="AN42" i="3"/>
  <c r="AP126" i="3" s="1"/>
  <c r="AQ126" i="3" s="1"/>
  <c r="AN64" i="3"/>
  <c r="AP148" i="3" s="1"/>
  <c r="AQ148" i="3" s="1"/>
  <c r="AN35" i="3"/>
  <c r="AP119" i="3" s="1"/>
  <c r="AQ119" i="3" s="1"/>
  <c r="AN47" i="3"/>
  <c r="AP131" i="3" s="1"/>
  <c r="AQ131" i="3" s="1"/>
  <c r="AN34" i="3"/>
  <c r="AP118" i="3" s="1"/>
  <c r="AQ118" i="3" s="1"/>
  <c r="AN31" i="3"/>
  <c r="AP115" i="3" s="1"/>
  <c r="AQ115" i="3" s="1"/>
  <c r="AN46" i="3"/>
  <c r="AP130" i="3" s="1"/>
  <c r="AQ130" i="3" s="1"/>
  <c r="AN44" i="3"/>
  <c r="AP128" i="3" s="1"/>
  <c r="AQ128" i="3" s="1"/>
  <c r="AN61" i="3"/>
  <c r="AP145" i="3" s="1"/>
  <c r="AQ145" i="3" s="1"/>
  <c r="AN48" i="3"/>
  <c r="AP132" i="3" s="1"/>
  <c r="AQ132" i="3" s="1"/>
  <c r="AN38" i="3"/>
  <c r="AP122" i="3" s="1"/>
  <c r="AQ122" i="3" s="1"/>
  <c r="AN62" i="3"/>
  <c r="AP146" i="3" s="1"/>
  <c r="AQ146" i="3" s="1"/>
  <c r="AN59" i="3"/>
  <c r="AP143" i="3" s="1"/>
  <c r="AQ143" i="3" s="1"/>
  <c r="AF47" i="3"/>
  <c r="AP89" i="3" s="1"/>
  <c r="AQ89" i="3" s="1"/>
  <c r="AF62" i="3"/>
  <c r="AP104" i="3" s="1"/>
  <c r="AQ104" i="3" s="1"/>
  <c r="AF51" i="3"/>
  <c r="AP93" i="3" s="1"/>
  <c r="AQ93" i="3" s="1"/>
  <c r="AF68" i="3"/>
  <c r="AP110" i="3" s="1"/>
  <c r="AQ110" i="3" s="1"/>
  <c r="AF71" i="3"/>
  <c r="AP113" i="3" s="1"/>
  <c r="AQ113" i="3" s="1"/>
  <c r="AF34" i="3"/>
  <c r="AP76" i="3" s="1"/>
  <c r="AQ76" i="3" s="1"/>
  <c r="AF38" i="3"/>
  <c r="AP80" i="3" s="1"/>
  <c r="AQ80" i="3" s="1"/>
  <c r="AF60" i="3"/>
  <c r="AP102" i="3" s="1"/>
  <c r="AQ102" i="3" s="1"/>
  <c r="AF54" i="3"/>
  <c r="AP96" i="3" s="1"/>
  <c r="AQ96" i="3" s="1"/>
  <c r="AF39" i="3"/>
  <c r="AP81" i="3" s="1"/>
  <c r="AQ81" i="3" s="1"/>
  <c r="AF55" i="3"/>
  <c r="AP97" i="3" s="1"/>
  <c r="AQ97" i="3" s="1"/>
  <c r="AF66" i="3"/>
  <c r="AP108" i="3" s="1"/>
  <c r="AQ108" i="3" s="1"/>
  <c r="AF48" i="3"/>
  <c r="AP90" i="3" s="1"/>
  <c r="AQ90" i="3" s="1"/>
  <c r="AF56" i="3"/>
  <c r="AP98" i="3" s="1"/>
  <c r="AQ98" i="3" s="1"/>
  <c r="AF41" i="3"/>
  <c r="AP83" i="3" s="1"/>
  <c r="AQ83" i="3" s="1"/>
  <c r="AF63" i="3"/>
  <c r="AP105" i="3" s="1"/>
  <c r="AQ105" i="3" s="1"/>
  <c r="T41" i="3"/>
  <c r="AF46" i="3"/>
  <c r="AP88" i="3" s="1"/>
  <c r="AQ88" i="3" s="1"/>
  <c r="AF49" i="3"/>
  <c r="AP91" i="3" s="1"/>
  <c r="AQ91" i="3" s="1"/>
  <c r="AF45" i="3"/>
  <c r="AP87" i="3" s="1"/>
  <c r="AQ87" i="3" s="1"/>
  <c r="AF64" i="3"/>
  <c r="AP106" i="3" s="1"/>
  <c r="AQ106" i="3" s="1"/>
  <c r="AF42" i="3"/>
  <c r="AP84" i="3" s="1"/>
  <c r="AQ84" i="3" s="1"/>
  <c r="AF70" i="3"/>
  <c r="AP112" i="3" s="1"/>
  <c r="AQ112" i="3" s="1"/>
  <c r="AF31" i="3"/>
  <c r="AP73" i="3" s="1"/>
  <c r="AQ73" i="3" s="1"/>
  <c r="AF53" i="3"/>
  <c r="AP95" i="3" s="1"/>
  <c r="AQ95" i="3" s="1"/>
  <c r="AF69" i="3"/>
  <c r="AP111" i="3" s="1"/>
  <c r="AQ111" i="3" s="1"/>
  <c r="AF43" i="3"/>
  <c r="AP85" i="3" s="1"/>
  <c r="AQ85" i="3" s="1"/>
  <c r="AF52" i="3"/>
  <c r="AP94" i="3" s="1"/>
  <c r="AQ94" i="3" s="1"/>
  <c r="AF65" i="3"/>
  <c r="AP107" i="3" s="1"/>
  <c r="AQ107" i="3" s="1"/>
  <c r="AF32" i="3"/>
  <c r="AP74" i="3" s="1"/>
  <c r="AQ74" i="3" s="1"/>
  <c r="AF67" i="3"/>
  <c r="AP109" i="3" s="1"/>
  <c r="AQ109" i="3" s="1"/>
  <c r="AF44" i="3"/>
  <c r="AP86" i="3" s="1"/>
  <c r="AQ86" i="3" s="1"/>
  <c r="AF36" i="3"/>
  <c r="AP78" i="3" s="1"/>
  <c r="AQ78" i="3" s="1"/>
  <c r="AF40" i="3"/>
  <c r="AP82" i="3" s="1"/>
  <c r="AQ82" i="3" s="1"/>
  <c r="AF61" i="3"/>
  <c r="AP103" i="3" s="1"/>
  <c r="AQ103" i="3" s="1"/>
  <c r="AF59" i="3"/>
  <c r="AP101" i="3" s="1"/>
  <c r="AQ101" i="3" s="1"/>
  <c r="AF58" i="3"/>
  <c r="AP100" i="3" s="1"/>
  <c r="AQ100" i="3" s="1"/>
  <c r="AF35" i="3"/>
  <c r="AP77" i="3" s="1"/>
  <c r="AQ77" i="3" s="1"/>
  <c r="AF57" i="3"/>
  <c r="AP99" i="3" s="1"/>
  <c r="AQ99" i="3" s="1"/>
  <c r="AF50" i="3"/>
  <c r="AP92" i="3" s="1"/>
  <c r="AQ92" i="3" s="1"/>
  <c r="AF33" i="3"/>
  <c r="AP75" i="3" s="1"/>
  <c r="AQ75" i="3" s="1"/>
  <c r="AF30" i="3"/>
  <c r="AP72" i="3" s="1"/>
  <c r="AQ72" i="3" s="1"/>
  <c r="H22" i="4"/>
  <c r="F23" i="4"/>
  <c r="F22" i="8" l="1"/>
  <c r="F23" i="8" s="1"/>
  <c r="H23" i="8" s="1"/>
  <c r="T42" i="3"/>
  <c r="H22" i="8" l="1"/>
  <c r="P16" i="8"/>
  <c r="Q16" i="8"/>
  <c r="O16" i="8"/>
  <c r="N16" i="8"/>
  <c r="M16" i="8"/>
  <c r="L16" i="8"/>
  <c r="K16" i="8"/>
  <c r="J16" i="8"/>
  <c r="R16" i="8"/>
  <c r="T43" i="3"/>
  <c r="V61" i="3" s="1"/>
  <c r="V66" i="3" l="1"/>
  <c r="V63" i="3"/>
  <c r="V32" i="3"/>
  <c r="V31" i="3"/>
  <c r="V38" i="3"/>
  <c r="V54" i="3"/>
  <c r="V51" i="3"/>
  <c r="V48" i="3"/>
  <c r="V52" i="3"/>
  <c r="V65" i="3"/>
  <c r="V43" i="3"/>
  <c r="V67" i="3"/>
  <c r="V53" i="3"/>
  <c r="V70" i="3"/>
  <c r="V58" i="3"/>
  <c r="V44" i="3"/>
  <c r="V36" i="3"/>
  <c r="V64" i="3"/>
  <c r="V69" i="3"/>
  <c r="V59" i="3"/>
  <c r="V71" i="3"/>
  <c r="W71" i="3" s="1"/>
  <c r="V42" i="3"/>
  <c r="V46" i="3"/>
  <c r="V49" i="3"/>
  <c r="V34" i="3"/>
  <c r="V68" i="3"/>
  <c r="V30" i="3"/>
  <c r="V39" i="3"/>
  <c r="V56" i="3"/>
  <c r="V62" i="3"/>
  <c r="V41" i="3"/>
  <c r="V33" i="3"/>
  <c r="V47" i="3"/>
  <c r="V55" i="3"/>
  <c r="V37" i="3"/>
  <c r="V35" i="3"/>
  <c r="V57" i="3"/>
  <c r="V50" i="3"/>
  <c r="V40" i="3"/>
  <c r="V45" i="3"/>
  <c r="V60" i="3"/>
  <c r="W60" i="3" s="1"/>
  <c r="W62" i="3" l="1"/>
  <c r="W52" i="3"/>
  <c r="W57" i="3"/>
  <c r="W54" i="3"/>
  <c r="W40" i="3"/>
  <c r="W50" i="3"/>
  <c r="W38" i="3"/>
  <c r="W42" i="3"/>
  <c r="W43" i="3"/>
  <c r="W66" i="3"/>
  <c r="W65" i="3"/>
  <c r="W63" i="3"/>
  <c r="W69" i="3"/>
  <c r="W47" i="3"/>
  <c r="W53" i="3"/>
  <c r="W48" i="3"/>
  <c r="W67" i="3"/>
  <c r="W64" i="3"/>
  <c r="W51" i="3"/>
  <c r="W45" i="3"/>
  <c r="W35" i="3"/>
  <c r="W68" i="3"/>
  <c r="W61" i="3"/>
  <c r="W41" i="3"/>
  <c r="W58" i="3"/>
  <c r="W70" i="3"/>
  <c r="W31" i="3"/>
  <c r="W34" i="3"/>
  <c r="W32" i="3"/>
  <c r="W44" i="3"/>
  <c r="W36" i="3"/>
  <c r="W37" i="3"/>
  <c r="W56" i="3"/>
  <c r="W30" i="3"/>
  <c r="W59" i="3"/>
  <c r="W46" i="3"/>
  <c r="W55" i="3"/>
  <c r="W33" i="3"/>
  <c r="W39" i="3"/>
  <c r="W49" i="3"/>
  <c r="X64" i="3" l="1"/>
  <c r="AP64" i="3" s="1"/>
  <c r="AQ64" i="3" s="1"/>
  <c r="X36" i="3"/>
  <c r="AP36" i="3" s="1"/>
  <c r="AQ36" i="3" s="1"/>
  <c r="X30" i="3"/>
  <c r="AP30" i="3" s="1"/>
  <c r="X31" i="3"/>
  <c r="AP31" i="3" s="1"/>
  <c r="AQ31" i="3" s="1"/>
  <c r="X46" i="3"/>
  <c r="AP46" i="3" s="1"/>
  <c r="AQ46" i="3" s="1"/>
  <c r="X33" i="3"/>
  <c r="AP33" i="3" s="1"/>
  <c r="AQ33" i="3" s="1"/>
  <c r="X43" i="3"/>
  <c r="AP43" i="3" s="1"/>
  <c r="AQ43" i="3" s="1"/>
  <c r="X71" i="3"/>
  <c r="AP71" i="3" s="1"/>
  <c r="AQ71" i="3" s="1"/>
  <c r="X65" i="3"/>
  <c r="AP65" i="3" s="1"/>
  <c r="AQ65" i="3" s="1"/>
  <c r="X34" i="3"/>
  <c r="AP34" i="3" s="1"/>
  <c r="AQ34" i="3" s="1"/>
  <c r="X56" i="3"/>
  <c r="AP56" i="3" s="1"/>
  <c r="AQ56" i="3" s="1"/>
  <c r="X62" i="3"/>
  <c r="AP62" i="3" s="1"/>
  <c r="AQ62" i="3" s="1"/>
  <c r="X52" i="3"/>
  <c r="AP52" i="3" s="1"/>
  <c r="AQ52" i="3" s="1"/>
  <c r="X60" i="3"/>
  <c r="AP60" i="3" s="1"/>
  <c r="AQ60" i="3" s="1"/>
  <c r="X55" i="3"/>
  <c r="AP55" i="3" s="1"/>
  <c r="AQ55" i="3" s="1"/>
  <c r="X42" i="3"/>
  <c r="AP42" i="3" s="1"/>
  <c r="AQ42" i="3" s="1"/>
  <c r="X32" i="3"/>
  <c r="AP32" i="3" s="1"/>
  <c r="AQ32" i="3" s="1"/>
  <c r="X38" i="3"/>
  <c r="AP38" i="3" s="1"/>
  <c r="AQ38" i="3" s="1"/>
  <c r="X58" i="3"/>
  <c r="AP58" i="3" s="1"/>
  <c r="AQ58" i="3" s="1"/>
  <c r="X47" i="3"/>
  <c r="AP47" i="3" s="1"/>
  <c r="AQ47" i="3" s="1"/>
  <c r="X66" i="3"/>
  <c r="AP66" i="3" s="1"/>
  <c r="AQ66" i="3" s="1"/>
  <c r="X49" i="3"/>
  <c r="AP49" i="3" s="1"/>
  <c r="AQ49" i="3" s="1"/>
  <c r="X51" i="3"/>
  <c r="AP51" i="3" s="1"/>
  <c r="AQ51" i="3" s="1"/>
  <c r="X45" i="3"/>
  <c r="AP45" i="3" s="1"/>
  <c r="AQ45" i="3" s="1"/>
  <c r="X41" i="3"/>
  <c r="AP41" i="3" s="1"/>
  <c r="AQ41" i="3" s="1"/>
  <c r="X69" i="3"/>
  <c r="AP69" i="3" s="1"/>
  <c r="AQ69" i="3" s="1"/>
  <c r="X35" i="3"/>
  <c r="AP35" i="3" s="1"/>
  <c r="AQ35" i="3" s="1"/>
  <c r="X68" i="3"/>
  <c r="AP68" i="3" s="1"/>
  <c r="AQ68" i="3" s="1"/>
  <c r="X63" i="3"/>
  <c r="AP63" i="3" s="1"/>
  <c r="AQ63" i="3" s="1"/>
  <c r="X57" i="3"/>
  <c r="AP57" i="3" s="1"/>
  <c r="AQ57" i="3" s="1"/>
  <c r="X59" i="3"/>
  <c r="AP59" i="3" s="1"/>
  <c r="AQ59" i="3" s="1"/>
  <c r="X48" i="3"/>
  <c r="AP48" i="3" s="1"/>
  <c r="AQ48" i="3" s="1"/>
  <c r="X54" i="3"/>
  <c r="AP54" i="3" s="1"/>
  <c r="AQ54" i="3" s="1"/>
  <c r="X37" i="3"/>
  <c r="AP37" i="3" s="1"/>
  <c r="AQ37" i="3" s="1"/>
  <c r="X39" i="3"/>
  <c r="AP39" i="3" s="1"/>
  <c r="AQ39" i="3" s="1"/>
  <c r="X40" i="3"/>
  <c r="AP40" i="3" s="1"/>
  <c r="AQ40" i="3" s="1"/>
  <c r="X53" i="3"/>
  <c r="AP53" i="3" s="1"/>
  <c r="AQ53" i="3" s="1"/>
  <c r="X67" i="3"/>
  <c r="AP67" i="3" s="1"/>
  <c r="AQ67" i="3" s="1"/>
  <c r="X61" i="3"/>
  <c r="AP61" i="3" s="1"/>
  <c r="AQ61" i="3" s="1"/>
  <c r="X44" i="3"/>
  <c r="AP44" i="3" s="1"/>
  <c r="AQ44" i="3" s="1"/>
  <c r="X50" i="3"/>
  <c r="AP50" i="3" s="1"/>
  <c r="AQ50" i="3" s="1"/>
  <c r="X70" i="3"/>
  <c r="AP70" i="3" s="1"/>
  <c r="AQ70" i="3" s="1"/>
  <c r="AQ30" i="3" l="1"/>
  <c r="BM42" i="3" s="1"/>
  <c r="M29" i="3" s="1"/>
  <c r="AR79" i="3"/>
  <c r="AU79" i="3" s="1"/>
  <c r="AR143" i="3"/>
  <c r="AU143" i="3" s="1"/>
  <c r="AR55" i="3"/>
  <c r="AR125" i="3"/>
  <c r="AU125" i="3" s="1"/>
  <c r="AR103" i="3"/>
  <c r="AU103" i="3" s="1"/>
  <c r="AR114" i="3"/>
  <c r="AU114" i="3" s="1"/>
  <c r="AR34" i="3"/>
  <c r="AR133" i="3"/>
  <c r="AU133" i="3" s="1"/>
  <c r="AR71" i="3"/>
  <c r="AU71" i="3" s="1"/>
  <c r="AR141" i="3"/>
  <c r="AU141" i="3" s="1"/>
  <c r="AR119" i="3"/>
  <c r="AU119" i="3" s="1"/>
  <c r="AR72" i="3"/>
  <c r="AU72" i="3" s="1"/>
  <c r="AR98" i="3"/>
  <c r="AU98" i="3" s="1"/>
  <c r="AR129" i="3"/>
  <c r="AU129" i="3" s="1"/>
  <c r="AR42" i="3"/>
  <c r="AR139" i="3"/>
  <c r="AU139" i="3" s="1"/>
  <c r="AR88" i="3"/>
  <c r="AU88" i="3" s="1"/>
  <c r="AR53" i="3"/>
  <c r="AR136" i="3"/>
  <c r="AU136" i="3" s="1"/>
  <c r="AR128" i="3"/>
  <c r="AU128" i="3" s="1"/>
  <c r="AR87" i="3"/>
  <c r="AU87" i="3" s="1"/>
  <c r="AR90" i="3"/>
  <c r="AU90" i="3" s="1"/>
  <c r="AR70" i="3"/>
  <c r="AU70" i="3" s="1"/>
  <c r="AR117" i="3"/>
  <c r="AU117" i="3" s="1"/>
  <c r="AR35" i="3"/>
  <c r="AR75" i="3"/>
  <c r="AU75" i="3" s="1"/>
  <c r="AR83" i="3"/>
  <c r="AU83" i="3" s="1"/>
  <c r="AR37" i="3"/>
  <c r="AR78" i="3"/>
  <c r="AU78" i="3" s="1"/>
  <c r="AR154" i="3"/>
  <c r="AU154" i="3" s="1"/>
  <c r="AR36" i="3"/>
  <c r="AR96" i="3"/>
  <c r="AU96" i="3" s="1"/>
  <c r="AR84" i="3"/>
  <c r="AU84" i="3" s="1"/>
  <c r="AR149" i="3"/>
  <c r="AU149" i="3" s="1"/>
  <c r="AR40" i="3"/>
  <c r="AR132" i="3"/>
  <c r="AU132" i="3" s="1"/>
  <c r="AR115" i="3"/>
  <c r="AU115" i="3" s="1"/>
  <c r="AR155" i="3"/>
  <c r="AU155" i="3" s="1"/>
  <c r="AR100" i="3"/>
  <c r="AU100" i="3" s="1"/>
  <c r="AR38" i="3"/>
  <c r="AR31" i="3"/>
  <c r="AR54" i="3"/>
  <c r="AR51" i="3"/>
  <c r="AR82" i="3"/>
  <c r="AU82" i="3" s="1"/>
  <c r="AR86" i="3"/>
  <c r="AU86" i="3" s="1"/>
  <c r="AR47" i="3"/>
  <c r="AR102" i="3"/>
  <c r="AU102" i="3" s="1"/>
  <c r="AR111" i="3"/>
  <c r="AU111" i="3" s="1"/>
  <c r="AR147" i="3"/>
  <c r="AU147" i="3" s="1"/>
  <c r="AR41" i="3"/>
  <c r="AR65" i="3"/>
  <c r="AU65" i="3" s="1"/>
  <c r="AR105" i="3"/>
  <c r="AU105" i="3" s="1"/>
  <c r="AR148" i="3"/>
  <c r="AU148" i="3" s="1"/>
  <c r="AR66" i="3"/>
  <c r="AU66" i="3" s="1"/>
  <c r="AR151" i="3"/>
  <c r="AU151" i="3" s="1"/>
  <c r="AR134" i="3"/>
  <c r="AU134" i="3" s="1"/>
  <c r="AR45" i="3"/>
  <c r="AR52" i="3"/>
  <c r="AR109" i="3"/>
  <c r="AU109" i="3" s="1"/>
  <c r="AR68" i="3"/>
  <c r="AU68" i="3" s="1"/>
  <c r="AR39" i="3"/>
  <c r="AR61" i="3"/>
  <c r="AU61" i="3" s="1"/>
  <c r="AR108" i="3"/>
  <c r="AU108" i="3" s="1"/>
  <c r="AR130" i="3"/>
  <c r="AU130" i="3" s="1"/>
  <c r="AR113" i="3"/>
  <c r="AU113" i="3" s="1"/>
  <c r="AR64" i="3"/>
  <c r="AU64" i="3" s="1"/>
  <c r="AR48" i="3"/>
  <c r="AR57" i="3"/>
  <c r="AR92" i="3"/>
  <c r="AU92" i="3" s="1"/>
  <c r="AR110" i="3"/>
  <c r="AU110" i="3" s="1"/>
  <c r="AR44" i="3"/>
  <c r="AR74" i="3"/>
  <c r="AU74" i="3" s="1"/>
  <c r="AR49" i="3"/>
  <c r="AR124" i="3"/>
  <c r="AU124" i="3" s="1"/>
  <c r="AR67" i="3"/>
  <c r="AU67" i="3" s="1"/>
  <c r="AR145" i="3"/>
  <c r="AU145" i="3" s="1"/>
  <c r="AR58" i="3"/>
  <c r="AR97" i="3"/>
  <c r="AU97" i="3" s="1"/>
  <c r="AR153" i="3"/>
  <c r="AU153" i="3" s="1"/>
  <c r="AR63" i="3"/>
  <c r="AU63" i="3" s="1"/>
  <c r="AR140" i="3"/>
  <c r="AU140" i="3" s="1"/>
  <c r="AR94" i="3"/>
  <c r="AU94" i="3" s="1"/>
  <c r="AR56" i="3"/>
  <c r="AR81" i="3"/>
  <c r="AU81" i="3" s="1"/>
  <c r="AR30" i="3"/>
  <c r="AR33" i="3"/>
  <c r="AR116" i="3"/>
  <c r="AU116" i="3" s="1"/>
  <c r="AR62" i="3"/>
  <c r="AU62" i="3" s="1"/>
  <c r="AR150" i="3"/>
  <c r="AU150" i="3" s="1"/>
  <c r="AR104" i="3"/>
  <c r="AU104" i="3" s="1"/>
  <c r="AR121" i="3"/>
  <c r="AU121" i="3" s="1"/>
  <c r="AR32" i="3"/>
  <c r="AR146" i="3"/>
  <c r="AU146" i="3" s="1"/>
  <c r="AR123" i="3"/>
  <c r="AU123" i="3" s="1"/>
  <c r="AR137" i="3"/>
  <c r="AU137" i="3" s="1"/>
  <c r="AR43" i="3"/>
  <c r="AR89" i="3"/>
  <c r="AU89" i="3" s="1"/>
  <c r="AR138" i="3"/>
  <c r="AU138" i="3" s="1"/>
  <c r="AR93" i="3"/>
  <c r="AU93" i="3" s="1"/>
  <c r="AR106" i="3"/>
  <c r="AU106" i="3" s="1"/>
  <c r="AR50" i="3"/>
  <c r="AR107" i="3"/>
  <c r="AU107" i="3" s="1"/>
  <c r="AR73" i="3"/>
  <c r="AU73" i="3" s="1"/>
  <c r="AR144" i="3"/>
  <c r="AU144" i="3" s="1"/>
  <c r="AR142" i="3"/>
  <c r="AU142" i="3" s="1"/>
  <c r="AR91" i="3"/>
  <c r="AU91" i="3" s="1"/>
  <c r="AR95" i="3"/>
  <c r="AU95" i="3" s="1"/>
  <c r="AR152" i="3"/>
  <c r="AU152" i="3" s="1"/>
  <c r="AR80" i="3"/>
  <c r="AU80" i="3" s="1"/>
  <c r="AR126" i="3"/>
  <c r="AU126" i="3" s="1"/>
  <c r="AR122" i="3"/>
  <c r="AU122" i="3" s="1"/>
  <c r="AR46" i="3"/>
  <c r="AR69" i="3"/>
  <c r="AU69" i="3" s="1"/>
  <c r="AR131" i="3"/>
  <c r="AU131" i="3" s="1"/>
  <c r="AR120" i="3"/>
  <c r="AU120" i="3" s="1"/>
  <c r="AR85" i="3"/>
  <c r="AU85" i="3" s="1"/>
  <c r="AR59" i="3"/>
  <c r="AU59" i="3" s="1"/>
  <c r="AR127" i="3"/>
  <c r="AU127" i="3" s="1"/>
  <c r="AR101" i="3"/>
  <c r="AU101" i="3" s="1"/>
  <c r="AR77" i="3"/>
  <c r="AU77" i="3" s="1"/>
  <c r="AR76" i="3"/>
  <c r="AU76" i="3" s="1"/>
  <c r="AR99" i="3"/>
  <c r="AU99" i="3" s="1"/>
  <c r="AR60" i="3"/>
  <c r="AU60" i="3" s="1"/>
  <c r="AR112" i="3"/>
  <c r="AU112" i="3" s="1"/>
  <c r="AR118" i="3"/>
  <c r="AU118" i="3" s="1"/>
  <c r="AR135" i="3"/>
  <c r="AU135" i="3" s="1"/>
  <c r="BM39" i="3" l="1"/>
  <c r="M26" i="3" s="1"/>
  <c r="BM37" i="3"/>
  <c r="M24" i="3" s="1"/>
  <c r="BM38" i="3"/>
  <c r="M25" i="3" s="1"/>
  <c r="BM43" i="3"/>
  <c r="M30" i="3" s="1"/>
  <c r="BM40" i="3"/>
  <c r="M27" i="3" s="1"/>
  <c r="BM41" i="3"/>
  <c r="M28" i="3" s="1"/>
  <c r="J32" i="1"/>
  <c r="P32" i="1" s="1"/>
  <c r="H32" i="1"/>
  <c r="N32" i="1" s="1"/>
  <c r="J25" i="1"/>
  <c r="P25" i="1" s="1"/>
  <c r="J27" i="1"/>
  <c r="P27" i="1" s="1"/>
  <c r="J29" i="1"/>
  <c r="P29" i="1" s="1"/>
  <c r="J31" i="1"/>
  <c r="P31" i="1" s="1"/>
  <c r="H26" i="1"/>
  <c r="N26" i="1" s="1"/>
  <c r="H28" i="1"/>
  <c r="N28" i="1" s="1"/>
  <c r="H30" i="1"/>
  <c r="N30" i="1" s="1"/>
  <c r="H15" i="1"/>
  <c r="N15" i="1" s="1"/>
  <c r="H24" i="1"/>
  <c r="N24" i="1" s="1"/>
  <c r="J24" i="1"/>
  <c r="Q24" i="1" s="1"/>
  <c r="J26" i="1"/>
  <c r="P26" i="1" s="1"/>
  <c r="J28" i="1"/>
  <c r="P28" i="1" s="1"/>
  <c r="J30" i="1"/>
  <c r="P30" i="1" s="1"/>
  <c r="H25" i="1"/>
  <c r="N25" i="1" s="1"/>
  <c r="H27" i="1"/>
  <c r="N27" i="1" s="1"/>
  <c r="H29" i="1"/>
  <c r="N29" i="1" s="1"/>
  <c r="H31" i="1"/>
  <c r="N31" i="1" s="1"/>
  <c r="AS35" i="3"/>
  <c r="AS34" i="3"/>
  <c r="AS118" i="3"/>
  <c r="AV118" i="3"/>
  <c r="AW118" i="3" s="1"/>
  <c r="AX118" i="3" s="1"/>
  <c r="AS60" i="3"/>
  <c r="AV60" i="3"/>
  <c r="AW60" i="3" s="1"/>
  <c r="AX60" i="3" s="1"/>
  <c r="AV76" i="3"/>
  <c r="AW76" i="3" s="1"/>
  <c r="AX76" i="3" s="1"/>
  <c r="AS76" i="3"/>
  <c r="AS101" i="3"/>
  <c r="AV101" i="3"/>
  <c r="AW101" i="3" s="1"/>
  <c r="AX101" i="3" s="1"/>
  <c r="AS59" i="3"/>
  <c r="AV59" i="3"/>
  <c r="AW59" i="3" s="1"/>
  <c r="AX59" i="3" s="1"/>
  <c r="AS120" i="3"/>
  <c r="AV120" i="3"/>
  <c r="AW120" i="3" s="1"/>
  <c r="AX120" i="3" s="1"/>
  <c r="AS69" i="3"/>
  <c r="AV69" i="3"/>
  <c r="AW69" i="3" s="1"/>
  <c r="AX69" i="3" s="1"/>
  <c r="AS122" i="3"/>
  <c r="AV122" i="3"/>
  <c r="AW122" i="3" s="1"/>
  <c r="AX122" i="3" s="1"/>
  <c r="AV80" i="3"/>
  <c r="AW80" i="3" s="1"/>
  <c r="AX80" i="3" s="1"/>
  <c r="AS80" i="3"/>
  <c r="AS95" i="3"/>
  <c r="AV95" i="3"/>
  <c r="AW95" i="3" s="1"/>
  <c r="AX95" i="3" s="1"/>
  <c r="AS142" i="3"/>
  <c r="AV142" i="3"/>
  <c r="AW142" i="3" s="1"/>
  <c r="AX142" i="3" s="1"/>
  <c r="AS73" i="3"/>
  <c r="AV73" i="3"/>
  <c r="AW73" i="3" s="1"/>
  <c r="AX73" i="3" s="1"/>
  <c r="AS50" i="3"/>
  <c r="AS93" i="3"/>
  <c r="AV93" i="3"/>
  <c r="AW93" i="3" s="1"/>
  <c r="AX93" i="3" s="1"/>
  <c r="AS89" i="3"/>
  <c r="AV89" i="3"/>
  <c r="AW89" i="3" s="1"/>
  <c r="AX89" i="3" s="1"/>
  <c r="AS137" i="3"/>
  <c r="AV137" i="3"/>
  <c r="AW137" i="3" s="1"/>
  <c r="AX137" i="3" s="1"/>
  <c r="AV146" i="3"/>
  <c r="AW146" i="3" s="1"/>
  <c r="AX146" i="3" s="1"/>
  <c r="AS146" i="3"/>
  <c r="AV121" i="3"/>
  <c r="AW121" i="3" s="1"/>
  <c r="AX121" i="3" s="1"/>
  <c r="AS121" i="3"/>
  <c r="AV150" i="3"/>
  <c r="AW150" i="3" s="1"/>
  <c r="AX150" i="3" s="1"/>
  <c r="AS150" i="3"/>
  <c r="AS116" i="3"/>
  <c r="AV116" i="3"/>
  <c r="AW116" i="3" s="1"/>
  <c r="AX116" i="3" s="1"/>
  <c r="H16" i="1"/>
  <c r="N16" i="1" s="1"/>
  <c r="J21" i="1"/>
  <c r="P21" i="1" s="1"/>
  <c r="H22" i="1"/>
  <c r="N22" i="1" s="1"/>
  <c r="AS30" i="3"/>
  <c r="J17" i="1"/>
  <c r="P17" i="1" s="1"/>
  <c r="J20" i="1"/>
  <c r="P20" i="1" s="1"/>
  <c r="H21" i="1"/>
  <c r="N21" i="1" s="1"/>
  <c r="H20" i="1"/>
  <c r="N20" i="1" s="1"/>
  <c r="H19" i="1"/>
  <c r="N19" i="1" s="1"/>
  <c r="K24" i="1"/>
  <c r="R24" i="1" s="1"/>
  <c r="H17" i="1"/>
  <c r="N17" i="1" s="1"/>
  <c r="L19" i="1"/>
  <c r="S19" i="1" s="1"/>
  <c r="J19" i="1"/>
  <c r="Q19" i="1" s="1"/>
  <c r="H23" i="1"/>
  <c r="N23" i="1" s="1"/>
  <c r="J16" i="1"/>
  <c r="P16" i="1" s="1"/>
  <c r="J18" i="1"/>
  <c r="P18" i="1" s="1"/>
  <c r="L24" i="1"/>
  <c r="S24" i="1" s="1"/>
  <c r="J15" i="1"/>
  <c r="P15" i="1" s="1"/>
  <c r="M24" i="1"/>
  <c r="T24" i="1" s="1"/>
  <c r="K19" i="1"/>
  <c r="R19" i="1" s="1"/>
  <c r="J23" i="1"/>
  <c r="P23" i="1" s="1"/>
  <c r="H18" i="1"/>
  <c r="N18" i="1" s="1"/>
  <c r="J22" i="1"/>
  <c r="P22" i="1" s="1"/>
  <c r="AS56" i="3"/>
  <c r="AV140" i="3"/>
  <c r="AW140" i="3" s="1"/>
  <c r="AX140" i="3" s="1"/>
  <c r="AS140" i="3"/>
  <c r="AV153" i="3"/>
  <c r="AW153" i="3" s="1"/>
  <c r="AX153" i="3" s="1"/>
  <c r="AS153" i="3"/>
  <c r="AS58" i="3"/>
  <c r="AS67" i="3"/>
  <c r="AV67" i="3"/>
  <c r="AW67" i="3" s="1"/>
  <c r="AX67" i="3" s="1"/>
  <c r="AS49" i="3"/>
  <c r="AS44" i="3"/>
  <c r="AV92" i="3"/>
  <c r="AW92" i="3" s="1"/>
  <c r="AX92" i="3" s="1"/>
  <c r="AS92" i="3"/>
  <c r="AS48" i="3"/>
  <c r="AV113" i="3"/>
  <c r="AW113" i="3" s="1"/>
  <c r="AX113" i="3" s="1"/>
  <c r="AS113" i="3"/>
  <c r="AV108" i="3"/>
  <c r="AW108" i="3" s="1"/>
  <c r="AX108" i="3" s="1"/>
  <c r="AS108" i="3"/>
  <c r="AS39" i="3"/>
  <c r="AV109" i="3"/>
  <c r="AW109" i="3" s="1"/>
  <c r="AX109" i="3" s="1"/>
  <c r="AS109" i="3"/>
  <c r="AS45" i="3"/>
  <c r="AS151" i="3"/>
  <c r="AV151" i="3"/>
  <c r="AW151" i="3" s="1"/>
  <c r="AX151" i="3" s="1"/>
  <c r="AS148" i="3"/>
  <c r="AV148" i="3"/>
  <c r="AW148" i="3" s="1"/>
  <c r="AX148" i="3" s="1"/>
  <c r="AS65" i="3"/>
  <c r="AV65" i="3"/>
  <c r="AW65" i="3" s="1"/>
  <c r="AX65" i="3" s="1"/>
  <c r="AS147" i="3"/>
  <c r="AV147" i="3"/>
  <c r="AW147" i="3" s="1"/>
  <c r="AX147" i="3" s="1"/>
  <c r="AV102" i="3"/>
  <c r="AW102" i="3" s="1"/>
  <c r="AX102" i="3" s="1"/>
  <c r="AS102" i="3"/>
  <c r="AS86" i="3"/>
  <c r="AV86" i="3"/>
  <c r="AW86" i="3" s="1"/>
  <c r="AX86" i="3" s="1"/>
  <c r="AS51" i="3"/>
  <c r="AS31" i="3"/>
  <c r="AV100" i="3"/>
  <c r="AW100" i="3" s="1"/>
  <c r="AX100" i="3" s="1"/>
  <c r="AS100" i="3"/>
  <c r="AV115" i="3"/>
  <c r="AW115" i="3" s="1"/>
  <c r="AX115" i="3" s="1"/>
  <c r="AS115" i="3"/>
  <c r="AS40" i="3"/>
  <c r="AS84" i="3"/>
  <c r="AV84" i="3"/>
  <c r="AW84" i="3" s="1"/>
  <c r="AX84" i="3" s="1"/>
  <c r="AS36" i="3"/>
  <c r="AS78" i="3"/>
  <c r="AV78" i="3"/>
  <c r="AW78" i="3" s="1"/>
  <c r="AX78" i="3" s="1"/>
  <c r="AS83" i="3"/>
  <c r="AV83" i="3"/>
  <c r="AW83" i="3" s="1"/>
  <c r="AX83" i="3" s="1"/>
  <c r="AV70" i="3"/>
  <c r="AW70" i="3" s="1"/>
  <c r="AX70" i="3" s="1"/>
  <c r="AS70" i="3"/>
  <c r="AS87" i="3"/>
  <c r="AV87" i="3"/>
  <c r="AW87" i="3" s="1"/>
  <c r="AX87" i="3" s="1"/>
  <c r="AV136" i="3"/>
  <c r="AW136" i="3" s="1"/>
  <c r="AX136" i="3" s="1"/>
  <c r="AS136" i="3"/>
  <c r="AV88" i="3"/>
  <c r="AW88" i="3" s="1"/>
  <c r="AX88" i="3" s="1"/>
  <c r="AS88" i="3"/>
  <c r="AS42" i="3"/>
  <c r="AV98" i="3"/>
  <c r="AW98" i="3" s="1"/>
  <c r="AX98" i="3" s="1"/>
  <c r="AS98" i="3"/>
  <c r="AV119" i="3"/>
  <c r="AW119" i="3" s="1"/>
  <c r="AX119" i="3" s="1"/>
  <c r="AS119" i="3"/>
  <c r="AV71" i="3"/>
  <c r="AW71" i="3" s="1"/>
  <c r="AX71" i="3" s="1"/>
  <c r="AS71" i="3"/>
  <c r="AS103" i="3"/>
  <c r="AV103" i="3"/>
  <c r="AW103" i="3" s="1"/>
  <c r="AX103" i="3" s="1"/>
  <c r="AS55" i="3"/>
  <c r="AS79" i="3"/>
  <c r="AV79" i="3"/>
  <c r="AW79" i="3" s="1"/>
  <c r="AX79" i="3" s="1"/>
  <c r="AV135" i="3"/>
  <c r="AW135" i="3" s="1"/>
  <c r="AX135" i="3" s="1"/>
  <c r="AS135" i="3"/>
  <c r="AV112" i="3"/>
  <c r="AW112" i="3" s="1"/>
  <c r="AX112" i="3" s="1"/>
  <c r="AS112" i="3"/>
  <c r="AV99" i="3"/>
  <c r="AW99" i="3" s="1"/>
  <c r="AX99" i="3" s="1"/>
  <c r="AS99" i="3"/>
  <c r="AS77" i="3"/>
  <c r="AV77" i="3"/>
  <c r="AW77" i="3" s="1"/>
  <c r="AX77" i="3" s="1"/>
  <c r="AV127" i="3"/>
  <c r="AW127" i="3" s="1"/>
  <c r="AX127" i="3" s="1"/>
  <c r="AS127" i="3"/>
  <c r="AV85" i="3"/>
  <c r="AW85" i="3" s="1"/>
  <c r="AX85" i="3" s="1"/>
  <c r="AS85" i="3"/>
  <c r="AV131" i="3"/>
  <c r="AW131" i="3" s="1"/>
  <c r="AX131" i="3" s="1"/>
  <c r="AS131" i="3"/>
  <c r="AS46" i="3"/>
  <c r="AS126" i="3"/>
  <c r="AV126" i="3"/>
  <c r="AW126" i="3" s="1"/>
  <c r="AX126" i="3" s="1"/>
  <c r="AS152" i="3"/>
  <c r="AV152" i="3"/>
  <c r="AW152" i="3" s="1"/>
  <c r="AX152" i="3" s="1"/>
  <c r="AV91" i="3"/>
  <c r="AW91" i="3" s="1"/>
  <c r="AX91" i="3" s="1"/>
  <c r="AS91" i="3"/>
  <c r="AV144" i="3"/>
  <c r="AW144" i="3" s="1"/>
  <c r="AX144" i="3" s="1"/>
  <c r="AS144" i="3"/>
  <c r="AS107" i="3"/>
  <c r="AV107" i="3"/>
  <c r="AW107" i="3" s="1"/>
  <c r="AX107" i="3" s="1"/>
  <c r="AV106" i="3"/>
  <c r="AW106" i="3" s="1"/>
  <c r="AX106" i="3" s="1"/>
  <c r="AS106" i="3"/>
  <c r="AV138" i="3"/>
  <c r="AW138" i="3" s="1"/>
  <c r="AX138" i="3" s="1"/>
  <c r="AS138" i="3"/>
  <c r="AS43" i="3"/>
  <c r="AS123" i="3"/>
  <c r="AV123" i="3"/>
  <c r="AW123" i="3" s="1"/>
  <c r="AX123" i="3" s="1"/>
  <c r="AS32" i="3"/>
  <c r="AV104" i="3"/>
  <c r="AW104" i="3" s="1"/>
  <c r="AX104" i="3" s="1"/>
  <c r="AS104" i="3"/>
  <c r="AS62" i="3"/>
  <c r="AV62" i="3"/>
  <c r="AW62" i="3" s="1"/>
  <c r="AX62" i="3" s="1"/>
  <c r="AS33" i="3"/>
  <c r="AS81" i="3"/>
  <c r="AV81" i="3"/>
  <c r="AW81" i="3" s="1"/>
  <c r="AX81" i="3" s="1"/>
  <c r="AV94" i="3"/>
  <c r="AW94" i="3" s="1"/>
  <c r="AX94" i="3" s="1"/>
  <c r="AS94" i="3"/>
  <c r="AV63" i="3"/>
  <c r="AW63" i="3" s="1"/>
  <c r="AX63" i="3" s="1"/>
  <c r="AS63" i="3"/>
  <c r="AV97" i="3"/>
  <c r="AW97" i="3" s="1"/>
  <c r="AX97" i="3" s="1"/>
  <c r="AS97" i="3"/>
  <c r="AS145" i="3"/>
  <c r="AV145" i="3"/>
  <c r="AW145" i="3" s="1"/>
  <c r="AX145" i="3" s="1"/>
  <c r="AS124" i="3"/>
  <c r="AV124" i="3"/>
  <c r="AW124" i="3" s="1"/>
  <c r="AX124" i="3" s="1"/>
  <c r="AV74" i="3"/>
  <c r="AW74" i="3" s="1"/>
  <c r="AX74" i="3" s="1"/>
  <c r="AS74" i="3"/>
  <c r="AV110" i="3"/>
  <c r="AW110" i="3" s="1"/>
  <c r="AX110" i="3" s="1"/>
  <c r="AS110" i="3"/>
  <c r="AS57" i="3"/>
  <c r="AV64" i="3"/>
  <c r="AW64" i="3" s="1"/>
  <c r="AX64" i="3" s="1"/>
  <c r="AS64" i="3"/>
  <c r="AV130" i="3"/>
  <c r="AW130" i="3" s="1"/>
  <c r="AX130" i="3" s="1"/>
  <c r="AS130" i="3"/>
  <c r="AV61" i="3"/>
  <c r="AW61" i="3" s="1"/>
  <c r="AX61" i="3" s="1"/>
  <c r="AS61" i="3"/>
  <c r="AS68" i="3"/>
  <c r="AV68" i="3"/>
  <c r="AW68" i="3" s="1"/>
  <c r="AX68" i="3" s="1"/>
  <c r="AS52" i="3"/>
  <c r="AS134" i="3"/>
  <c r="AV134" i="3"/>
  <c r="AW134" i="3" s="1"/>
  <c r="AX134" i="3" s="1"/>
  <c r="AV66" i="3"/>
  <c r="AW66" i="3" s="1"/>
  <c r="AX66" i="3" s="1"/>
  <c r="AS66" i="3"/>
  <c r="AS105" i="3"/>
  <c r="AV105" i="3"/>
  <c r="AW105" i="3" s="1"/>
  <c r="AX105" i="3" s="1"/>
  <c r="AS41" i="3"/>
  <c r="AS111" i="3"/>
  <c r="AV111" i="3"/>
  <c r="AW111" i="3" s="1"/>
  <c r="AX111" i="3" s="1"/>
  <c r="AS47" i="3"/>
  <c r="AV82" i="3"/>
  <c r="AW82" i="3" s="1"/>
  <c r="AX82" i="3" s="1"/>
  <c r="AS82" i="3"/>
  <c r="AS54" i="3"/>
  <c r="AS38" i="3"/>
  <c r="AV155" i="3"/>
  <c r="AW155" i="3" s="1"/>
  <c r="AX155" i="3" s="1"/>
  <c r="AS155" i="3"/>
  <c r="AV132" i="3"/>
  <c r="AW132" i="3" s="1"/>
  <c r="AX132" i="3" s="1"/>
  <c r="AS132" i="3"/>
  <c r="AS149" i="3"/>
  <c r="AV149" i="3"/>
  <c r="AW149" i="3" s="1"/>
  <c r="AX149" i="3" s="1"/>
  <c r="AS96" i="3"/>
  <c r="AV96" i="3"/>
  <c r="AW96" i="3" s="1"/>
  <c r="AX96" i="3" s="1"/>
  <c r="AV154" i="3"/>
  <c r="AW154" i="3" s="1"/>
  <c r="AX154" i="3" s="1"/>
  <c r="AS154" i="3"/>
  <c r="AS37" i="3"/>
  <c r="AV75" i="3"/>
  <c r="AW75" i="3" s="1"/>
  <c r="AX75" i="3" s="1"/>
  <c r="AS75" i="3"/>
  <c r="AV117" i="3"/>
  <c r="AW117" i="3" s="1"/>
  <c r="AX117" i="3" s="1"/>
  <c r="AS117" i="3"/>
  <c r="AS90" i="3"/>
  <c r="AV90" i="3"/>
  <c r="AW90" i="3" s="1"/>
  <c r="AX90" i="3" s="1"/>
  <c r="AV128" i="3"/>
  <c r="AW128" i="3" s="1"/>
  <c r="AX128" i="3" s="1"/>
  <c r="AS128" i="3"/>
  <c r="AS53" i="3"/>
  <c r="AS139" i="3"/>
  <c r="AV139" i="3"/>
  <c r="AW139" i="3" s="1"/>
  <c r="AX139" i="3" s="1"/>
  <c r="AS129" i="3"/>
  <c r="AV129" i="3"/>
  <c r="AW129" i="3" s="1"/>
  <c r="AX129" i="3" s="1"/>
  <c r="AS72" i="3"/>
  <c r="AV72" i="3"/>
  <c r="AW72" i="3" s="1"/>
  <c r="AX72" i="3" s="1"/>
  <c r="AV141" i="3"/>
  <c r="AW141" i="3" s="1"/>
  <c r="AX141" i="3" s="1"/>
  <c r="AS141" i="3"/>
  <c r="AV133" i="3"/>
  <c r="AW133" i="3" s="1"/>
  <c r="AX133" i="3" s="1"/>
  <c r="AS133" i="3"/>
  <c r="AS114" i="3"/>
  <c r="AV114" i="3"/>
  <c r="AW114" i="3" s="1"/>
  <c r="AX114" i="3" s="1"/>
  <c r="AS125" i="3"/>
  <c r="AV125" i="3"/>
  <c r="AW125" i="3" s="1"/>
  <c r="AX125" i="3" s="1"/>
  <c r="AS143" i="3"/>
  <c r="AV143" i="3"/>
  <c r="AW143" i="3" s="1"/>
  <c r="AX143" i="3" s="1"/>
  <c r="V21" i="1" l="1"/>
  <c r="V20" i="1"/>
  <c r="V32" i="1"/>
  <c r="V31" i="1"/>
  <c r="V27" i="1"/>
  <c r="V29" i="1"/>
  <c r="V25" i="1"/>
  <c r="V30" i="1"/>
  <c r="V26" i="1"/>
  <c r="V28" i="1"/>
  <c r="V18" i="1"/>
  <c r="P19" i="1"/>
  <c r="V19" i="1" s="1"/>
  <c r="V17" i="1"/>
  <c r="AV23" i="3"/>
  <c r="P24" i="1"/>
  <c r="V24" i="1" s="1"/>
  <c r="V15" i="1"/>
  <c r="V23" i="1"/>
  <c r="V22" i="1"/>
  <c r="V16" i="1"/>
  <c r="AU52" i="3" l="1"/>
  <c r="AV52" i="3" s="1"/>
  <c r="AW52" i="3" s="1"/>
  <c r="AX52" i="3" s="1"/>
  <c r="AU56" i="3"/>
  <c r="AV56" i="3" s="1"/>
  <c r="AW56" i="3" s="1"/>
  <c r="AX56" i="3" s="1"/>
  <c r="AU55" i="3"/>
  <c r="AV55" i="3" s="1"/>
  <c r="AW55" i="3" s="1"/>
  <c r="AX55" i="3" s="1"/>
  <c r="AU58" i="3"/>
  <c r="AV58" i="3" s="1"/>
  <c r="AW58" i="3" s="1"/>
  <c r="AX58" i="3" s="1"/>
  <c r="AU57" i="3"/>
  <c r="AV57" i="3" s="1"/>
  <c r="AW57" i="3" s="1"/>
  <c r="AX57" i="3" s="1"/>
  <c r="AU49" i="3"/>
  <c r="AV49" i="3" s="1"/>
  <c r="AW49" i="3" s="1"/>
  <c r="AX49" i="3" s="1"/>
  <c r="AU53" i="3"/>
  <c r="AV53" i="3" s="1"/>
  <c r="AW53" i="3" s="1"/>
  <c r="AX53" i="3" s="1"/>
  <c r="AU54" i="3"/>
  <c r="AV54" i="3" s="1"/>
  <c r="AW54" i="3" s="1"/>
  <c r="AX54" i="3" s="1"/>
  <c r="AU44" i="3"/>
  <c r="AV44" i="3" s="1"/>
  <c r="AW44" i="3" s="1"/>
  <c r="AX44" i="3" s="1"/>
  <c r="AU50" i="3"/>
  <c r="AV50" i="3" s="1"/>
  <c r="AW50" i="3" s="1"/>
  <c r="AX50" i="3" s="1"/>
  <c r="AU51" i="3"/>
  <c r="AV51" i="3" s="1"/>
  <c r="AW51" i="3" s="1"/>
  <c r="AX51" i="3" s="1"/>
  <c r="AU46" i="3"/>
  <c r="AV46" i="3" s="1"/>
  <c r="AW46" i="3" s="1"/>
  <c r="AX46" i="3" s="1"/>
  <c r="AU47" i="3"/>
  <c r="AV47" i="3" s="1"/>
  <c r="AW47" i="3" s="1"/>
  <c r="AX47" i="3" s="1"/>
  <c r="AU35" i="3"/>
  <c r="AV35" i="3" s="1"/>
  <c r="AW35" i="3" s="1"/>
  <c r="AX35" i="3" s="1"/>
  <c r="AU43" i="3"/>
  <c r="AV43" i="3" s="1"/>
  <c r="AW43" i="3" s="1"/>
  <c r="AX43" i="3" s="1"/>
  <c r="AU34" i="3"/>
  <c r="AV34" i="3" s="1"/>
  <c r="AW34" i="3" s="1"/>
  <c r="AX34" i="3" s="1"/>
  <c r="AU31" i="3"/>
  <c r="AV31" i="3" s="1"/>
  <c r="AW31" i="3" s="1"/>
  <c r="AX31" i="3" s="1"/>
  <c r="AU36" i="3"/>
  <c r="AV36" i="3" s="1"/>
  <c r="AW36" i="3" s="1"/>
  <c r="AX36" i="3" s="1"/>
  <c r="AU37" i="3"/>
  <c r="AV37" i="3" s="1"/>
  <c r="AW37" i="3" s="1"/>
  <c r="AX37" i="3" s="1"/>
  <c r="AU45" i="3"/>
  <c r="AV45" i="3" s="1"/>
  <c r="AW45" i="3" s="1"/>
  <c r="AX45" i="3" s="1"/>
  <c r="AU40" i="3"/>
  <c r="AV40" i="3" s="1"/>
  <c r="AW40" i="3" s="1"/>
  <c r="AX40" i="3" s="1"/>
  <c r="AU48" i="3"/>
  <c r="AV48" i="3" s="1"/>
  <c r="AW48" i="3" s="1"/>
  <c r="AX48" i="3" s="1"/>
  <c r="AU30" i="3"/>
  <c r="AU33" i="3"/>
  <c r="AU32" i="3"/>
  <c r="AV32" i="3" s="1"/>
  <c r="AW32" i="3" s="1"/>
  <c r="AX32" i="3" s="1"/>
  <c r="AU38" i="3"/>
  <c r="AV38" i="3" s="1"/>
  <c r="AW38" i="3" s="1"/>
  <c r="AX38" i="3" s="1"/>
  <c r="AU39" i="3"/>
  <c r="AV39" i="3" s="1"/>
  <c r="AW39" i="3" s="1"/>
  <c r="AX39" i="3" s="1"/>
  <c r="AU41" i="3"/>
  <c r="AV41" i="3" s="1"/>
  <c r="AW41" i="3" s="1"/>
  <c r="AX41" i="3" s="1"/>
  <c r="AU42" i="3"/>
  <c r="AV42" i="3" s="1"/>
  <c r="AW42" i="3" s="1"/>
  <c r="AX42" i="3" s="1"/>
  <c r="AV24" i="3" l="1"/>
  <c r="AV25" i="3"/>
  <c r="AV30" i="3"/>
  <c r="AW30" i="3" s="1"/>
  <c r="AX30" i="3" s="1"/>
  <c r="AV27" i="3"/>
  <c r="AV28" i="3"/>
  <c r="AV33" i="3"/>
  <c r="AW33" i="3" s="1"/>
  <c r="AX33" i="3" s="1"/>
  <c r="AV26" i="3"/>
  <c r="AW23" i="3" l="1"/>
  <c r="AY107" i="3"/>
  <c r="AZ107" i="3" s="1"/>
  <c r="AY54" i="3"/>
  <c r="AZ54" i="3" s="1"/>
  <c r="AY127" i="3"/>
  <c r="AZ127" i="3" s="1"/>
  <c r="AW24" i="3"/>
  <c r="AY47" i="3"/>
  <c r="AZ47" i="3" s="1"/>
  <c r="AW28" i="3"/>
  <c r="AY80" i="3"/>
  <c r="AZ80" i="3" s="1"/>
  <c r="AY139" i="3"/>
  <c r="AZ139" i="3" s="1"/>
  <c r="AY105" i="3"/>
  <c r="AZ105" i="3" s="1"/>
  <c r="AY61" i="3"/>
  <c r="AZ61" i="3" s="1"/>
  <c r="AY79" i="3"/>
  <c r="AZ79" i="3" s="1"/>
  <c r="AY50" i="3"/>
  <c r="AZ50" i="3" s="1"/>
  <c r="AY152" i="3"/>
  <c r="AZ152" i="3" s="1"/>
  <c r="AY43" i="3"/>
  <c r="AZ43" i="3" s="1"/>
  <c r="AY45" i="3"/>
  <c r="AZ45" i="3" s="1"/>
  <c r="AY44" i="3"/>
  <c r="AZ44" i="3" s="1"/>
  <c r="AY90" i="3"/>
  <c r="AZ90" i="3" s="1"/>
  <c r="AY37" i="3"/>
  <c r="AZ37" i="3" s="1"/>
  <c r="AY36" i="3"/>
  <c r="AZ36" i="3" s="1"/>
  <c r="AY85" i="3"/>
  <c r="AZ85" i="3" s="1"/>
  <c r="AY95" i="3"/>
  <c r="AZ95" i="3" s="1"/>
  <c r="AY58" i="3"/>
  <c r="AZ58" i="3" s="1"/>
  <c r="AY40" i="3"/>
  <c r="AZ40" i="3" s="1"/>
  <c r="AY81" i="3"/>
  <c r="AZ81" i="3" s="1"/>
  <c r="AY46" i="3"/>
  <c r="AZ46" i="3" s="1"/>
  <c r="AW22" i="3"/>
  <c r="AW27" i="3"/>
  <c r="AW26" i="3"/>
  <c r="AW21" i="3"/>
  <c r="AW25" i="3"/>
  <c r="AY122" i="3"/>
  <c r="AZ122" i="3" s="1"/>
  <c r="AY51" i="3"/>
  <c r="AZ51" i="3" s="1"/>
  <c r="AY48" i="3"/>
  <c r="AZ48" i="3" s="1"/>
  <c r="AY42" i="3"/>
  <c r="AZ42" i="3" s="1"/>
  <c r="AY117" i="3"/>
  <c r="AZ117" i="3" s="1"/>
  <c r="AY59" i="3"/>
  <c r="AZ59" i="3" s="1"/>
  <c r="AY97" i="3"/>
  <c r="AZ97" i="3" s="1"/>
  <c r="AY141" i="3"/>
  <c r="AZ141" i="3" s="1"/>
  <c r="AY111" i="3"/>
  <c r="AZ111" i="3" s="1"/>
  <c r="AY77" i="3"/>
  <c r="AZ77" i="3" s="1"/>
  <c r="AY98" i="3"/>
  <c r="AZ98" i="3" s="1"/>
  <c r="AY120" i="3"/>
  <c r="AZ120" i="3" s="1"/>
  <c r="AY150" i="3"/>
  <c r="AZ150" i="3" s="1"/>
  <c r="AY106" i="3"/>
  <c r="AZ106" i="3" s="1"/>
  <c r="AY103" i="3"/>
  <c r="AZ103" i="3" s="1"/>
  <c r="AY55" i="3"/>
  <c r="AZ55" i="3" s="1"/>
  <c r="AY115" i="3"/>
  <c r="AZ115" i="3" s="1"/>
  <c r="AY146" i="3"/>
  <c r="AZ146" i="3" s="1"/>
  <c r="AY151" i="3"/>
  <c r="AZ151" i="3" s="1"/>
  <c r="AY155" i="3"/>
  <c r="AZ155" i="3" s="1"/>
  <c r="AY62" i="3"/>
  <c r="AZ62" i="3" s="1"/>
  <c r="AY126" i="3"/>
  <c r="AZ126" i="3" s="1"/>
  <c r="AY75" i="3"/>
  <c r="AZ75" i="3" s="1"/>
  <c r="AY113" i="3"/>
  <c r="AZ113" i="3" s="1"/>
  <c r="AY137" i="3"/>
  <c r="AZ137" i="3" s="1"/>
  <c r="AY99" i="3"/>
  <c r="AZ99" i="3" s="1"/>
  <c r="AY144" i="3"/>
  <c r="AZ144" i="3" s="1"/>
  <c r="AY74" i="3"/>
  <c r="AZ74" i="3" s="1"/>
  <c r="AY89" i="3"/>
  <c r="AZ89" i="3" s="1"/>
  <c r="AY102" i="3"/>
  <c r="AZ102" i="3" s="1"/>
  <c r="AY68" i="3"/>
  <c r="AZ68" i="3" s="1"/>
  <c r="AY135" i="3"/>
  <c r="AZ135" i="3" s="1"/>
  <c r="AY134" i="3"/>
  <c r="AZ134" i="3" s="1"/>
  <c r="AY136" i="3"/>
  <c r="AZ136" i="3" s="1"/>
  <c r="AY76" i="3"/>
  <c r="AZ76" i="3" s="1"/>
  <c r="AY52" i="3"/>
  <c r="AZ52" i="3" s="1"/>
  <c r="AY57" i="3"/>
  <c r="AZ57" i="3" s="1"/>
  <c r="AY110" i="3"/>
  <c r="AZ110" i="3" s="1"/>
  <c r="AY38" i="3"/>
  <c r="AZ38" i="3" s="1"/>
  <c r="AY82" i="3"/>
  <c r="AZ82" i="3" s="1"/>
  <c r="AY109" i="3"/>
  <c r="AZ109" i="3" s="1"/>
  <c r="AY93" i="3"/>
  <c r="AZ93" i="3" s="1"/>
  <c r="AY83" i="3"/>
  <c r="AZ83" i="3" s="1"/>
  <c r="AY129" i="3"/>
  <c r="AZ129" i="3" s="1"/>
  <c r="AY104" i="3"/>
  <c r="AZ104" i="3" s="1"/>
  <c r="AY64" i="3"/>
  <c r="AZ64" i="3" s="1"/>
  <c r="AY35" i="3"/>
  <c r="AZ35" i="3" s="1"/>
  <c r="AY121" i="3"/>
  <c r="AZ121" i="3" s="1"/>
  <c r="AY33" i="3"/>
  <c r="AZ33" i="3" s="1"/>
  <c r="AY108" i="3"/>
  <c r="AZ108" i="3" s="1"/>
  <c r="AY53" i="3"/>
  <c r="AZ53" i="3" s="1"/>
  <c r="AY31" i="3"/>
  <c r="AZ31" i="3" s="1"/>
  <c r="AY88" i="3"/>
  <c r="AZ88" i="3" s="1"/>
  <c r="AY119" i="3"/>
  <c r="AZ119" i="3" s="1"/>
  <c r="AY84" i="3"/>
  <c r="AZ84" i="3" s="1"/>
  <c r="AY138" i="3"/>
  <c r="AZ138" i="3" s="1"/>
  <c r="AY145" i="3"/>
  <c r="AZ145" i="3" s="1"/>
  <c r="AY41" i="3"/>
  <c r="AZ41" i="3" s="1"/>
  <c r="AY87" i="3"/>
  <c r="AZ87" i="3" s="1"/>
  <c r="AY56" i="3"/>
  <c r="AZ56" i="3" s="1"/>
  <c r="AY67" i="3"/>
  <c r="AZ67" i="3" s="1"/>
  <c r="AY92" i="3"/>
  <c r="AZ92" i="3" s="1"/>
  <c r="AY70" i="3"/>
  <c r="AZ70" i="3" s="1"/>
  <c r="AY69" i="3"/>
  <c r="AZ69" i="3" s="1"/>
  <c r="AY154" i="3"/>
  <c r="AZ154" i="3" s="1"/>
  <c r="AY30" i="3"/>
  <c r="AY147" i="3"/>
  <c r="AZ147" i="3" s="1"/>
  <c r="AY86" i="3"/>
  <c r="AZ86" i="3" s="1"/>
  <c r="AY60" i="3"/>
  <c r="AZ60" i="3" s="1"/>
  <c r="AY123" i="3"/>
  <c r="AZ123" i="3" s="1"/>
  <c r="AY94" i="3"/>
  <c r="AZ94" i="3" s="1"/>
  <c r="AY63" i="3"/>
  <c r="AZ63" i="3" s="1"/>
  <c r="AY101" i="3"/>
  <c r="AZ101" i="3" s="1"/>
  <c r="AY71" i="3"/>
  <c r="AZ71" i="3" s="1"/>
  <c r="AY72" i="3"/>
  <c r="AZ72" i="3" s="1"/>
  <c r="AY66" i="3"/>
  <c r="AZ66" i="3" s="1"/>
  <c r="AY148" i="3"/>
  <c r="AZ148" i="3" s="1"/>
  <c r="AY65" i="3"/>
  <c r="AZ65" i="3" s="1"/>
  <c r="AY133" i="3"/>
  <c r="AZ133" i="3" s="1"/>
  <c r="AY49" i="3"/>
  <c r="AZ49" i="3" s="1"/>
  <c r="AY142" i="3"/>
  <c r="AZ142" i="3" s="1"/>
  <c r="AY153" i="3"/>
  <c r="AZ153" i="3" s="1"/>
  <c r="AY100" i="3"/>
  <c r="AZ100" i="3" s="1"/>
  <c r="AY130" i="3"/>
  <c r="AZ130" i="3" s="1"/>
  <c r="AY96" i="3"/>
  <c r="AZ96" i="3" s="1"/>
  <c r="AY112" i="3"/>
  <c r="AZ112" i="3" s="1"/>
  <c r="AY124" i="3"/>
  <c r="AZ124" i="3" s="1"/>
  <c r="AY128" i="3"/>
  <c r="AZ128" i="3" s="1"/>
  <c r="AY39" i="3"/>
  <c r="AZ39" i="3" s="1"/>
  <c r="AY132" i="3"/>
  <c r="AZ132" i="3" s="1"/>
  <c r="AY118" i="3"/>
  <c r="AZ118" i="3" s="1"/>
  <c r="AY131" i="3"/>
  <c r="AZ131" i="3" s="1"/>
  <c r="AY114" i="3"/>
  <c r="AZ114" i="3" s="1"/>
  <c r="AY125" i="3"/>
  <c r="AZ125" i="3" s="1"/>
  <c r="AY32" i="3"/>
  <c r="AZ32" i="3" s="1"/>
  <c r="AY116" i="3"/>
  <c r="AZ116" i="3" s="1"/>
  <c r="AY143" i="3"/>
  <c r="AZ143" i="3" s="1"/>
  <c r="AY149" i="3"/>
  <c r="AZ149" i="3" s="1"/>
  <c r="AY34" i="3"/>
  <c r="AZ34" i="3" s="1"/>
  <c r="AY140" i="3"/>
  <c r="AZ140" i="3" s="1"/>
  <c r="AY73" i="3"/>
  <c r="AZ73" i="3" s="1"/>
  <c r="AY91" i="3"/>
  <c r="AZ91" i="3" s="1"/>
  <c r="AY78" i="3"/>
  <c r="AZ78" i="3" s="1"/>
  <c r="BA30" i="3" l="1"/>
  <c r="AZ30" i="3"/>
  <c r="BB30" i="3" l="1"/>
  <c r="BA31" i="3"/>
  <c r="BA32" i="3" s="1"/>
  <c r="BA33" i="3" s="1"/>
  <c r="BA34" i="3" s="1"/>
  <c r="BA35" i="3" s="1"/>
  <c r="BA36" i="3" s="1"/>
  <c r="BA37" i="3" s="1"/>
  <c r="BA38" i="3" s="1"/>
  <c r="BA39" i="3" s="1"/>
  <c r="BA40" i="3" s="1"/>
  <c r="BA41" i="3" s="1"/>
  <c r="BA42" i="3" s="1"/>
  <c r="BA43" i="3" s="1"/>
  <c r="BA44" i="3" s="1"/>
  <c r="BA45" i="3" s="1"/>
  <c r="BA46" i="3" s="1"/>
  <c r="BA47" i="3" s="1"/>
  <c r="BA48" i="3" s="1"/>
  <c r="BA49" i="3" s="1"/>
  <c r="BA50" i="3" s="1"/>
  <c r="BA51" i="3" s="1"/>
  <c r="BA52" i="3" s="1"/>
  <c r="BA53" i="3" s="1"/>
  <c r="BA54" i="3" s="1"/>
  <c r="BA55" i="3" s="1"/>
  <c r="BA56" i="3" s="1"/>
  <c r="BA57" i="3" s="1"/>
  <c r="BA58" i="3" s="1"/>
  <c r="BA59" i="3" s="1"/>
  <c r="BA60" i="3" s="1"/>
  <c r="BA61" i="3" s="1"/>
  <c r="BA62" i="3" s="1"/>
  <c r="BA63" i="3" s="1"/>
  <c r="BA64" i="3" s="1"/>
  <c r="BA65" i="3" s="1"/>
  <c r="BA66" i="3" s="1"/>
  <c r="BA67" i="3" s="1"/>
  <c r="BA68" i="3" s="1"/>
  <c r="BA69" i="3" s="1"/>
  <c r="BA70" i="3" s="1"/>
  <c r="BA71" i="3" s="1"/>
  <c r="BA72" i="3" s="1"/>
  <c r="BA73" i="3" s="1"/>
  <c r="BA74" i="3" s="1"/>
  <c r="BA75" i="3" s="1"/>
  <c r="BA76" i="3" s="1"/>
  <c r="BA77" i="3" s="1"/>
  <c r="BA78" i="3" s="1"/>
  <c r="BA79" i="3" s="1"/>
  <c r="BA80" i="3" s="1"/>
  <c r="BA81" i="3" s="1"/>
  <c r="BA82" i="3" s="1"/>
  <c r="BA83" i="3" s="1"/>
  <c r="BA84" i="3" s="1"/>
  <c r="BA85" i="3" s="1"/>
  <c r="BA86" i="3" s="1"/>
  <c r="BA87" i="3" s="1"/>
  <c r="BA88" i="3" s="1"/>
  <c r="BA89" i="3" s="1"/>
  <c r="BA90" i="3" s="1"/>
  <c r="BA91" i="3" s="1"/>
  <c r="BA92" i="3" s="1"/>
  <c r="BA93" i="3" s="1"/>
  <c r="BA94" i="3" s="1"/>
  <c r="BA95" i="3" s="1"/>
  <c r="BA96" i="3" s="1"/>
  <c r="BA97" i="3" s="1"/>
  <c r="BA98" i="3" s="1"/>
  <c r="BA99" i="3" s="1"/>
  <c r="BA100" i="3" s="1"/>
  <c r="BA101" i="3" s="1"/>
  <c r="BA102" i="3" s="1"/>
  <c r="BA103" i="3" s="1"/>
  <c r="BA104" i="3" s="1"/>
  <c r="BA105" i="3" s="1"/>
  <c r="BA106" i="3" s="1"/>
  <c r="BA107" i="3" s="1"/>
  <c r="BA108" i="3" s="1"/>
  <c r="BA109" i="3" s="1"/>
  <c r="BA110" i="3" s="1"/>
  <c r="BA111" i="3" s="1"/>
  <c r="BA112" i="3" s="1"/>
  <c r="BA113" i="3" s="1"/>
  <c r="BA114" i="3" s="1"/>
  <c r="BA115" i="3" s="1"/>
  <c r="BA116" i="3" s="1"/>
  <c r="BA117" i="3" s="1"/>
  <c r="BA118" i="3" s="1"/>
  <c r="BA119" i="3" s="1"/>
  <c r="BA120" i="3" s="1"/>
  <c r="BA121" i="3" s="1"/>
  <c r="BA122" i="3" s="1"/>
  <c r="BA123" i="3" s="1"/>
  <c r="BA124" i="3" s="1"/>
  <c r="BA125" i="3" s="1"/>
  <c r="BA126" i="3" s="1"/>
  <c r="BA127" i="3" s="1"/>
  <c r="BA128" i="3" s="1"/>
  <c r="BA129" i="3" s="1"/>
  <c r="BA130" i="3" s="1"/>
  <c r="BA131" i="3" s="1"/>
  <c r="BA132" i="3" s="1"/>
  <c r="BA133" i="3" s="1"/>
  <c r="BA134" i="3" s="1"/>
  <c r="BA135" i="3" s="1"/>
  <c r="BA136" i="3" s="1"/>
  <c r="BA137" i="3" s="1"/>
  <c r="BA138" i="3" s="1"/>
  <c r="BA139" i="3" s="1"/>
  <c r="BA140" i="3" s="1"/>
  <c r="BA141" i="3" s="1"/>
  <c r="BA142" i="3" s="1"/>
  <c r="BA143" i="3" s="1"/>
  <c r="BA144" i="3" s="1"/>
  <c r="BA145" i="3" s="1"/>
  <c r="BA146" i="3" s="1"/>
  <c r="BA147" i="3" s="1"/>
  <c r="BA148" i="3" s="1"/>
  <c r="BA149" i="3" s="1"/>
  <c r="BA150" i="3" s="1"/>
  <c r="BA151" i="3" s="1"/>
  <c r="BA152" i="3" s="1"/>
  <c r="BA153" i="3" s="1"/>
  <c r="BA154" i="3" s="1"/>
  <c r="BA155" i="3" s="1"/>
  <c r="BB31" i="3" l="1"/>
  <c r="BC30" i="3"/>
  <c r="BF30" i="3" l="1"/>
  <c r="BE30" i="3"/>
  <c r="BD30" i="3"/>
  <c r="BB32" i="3"/>
  <c r="BC31" i="3"/>
  <c r="BF31" i="3" l="1"/>
  <c r="BE31" i="3"/>
  <c r="BD31" i="3"/>
  <c r="BC32" i="3"/>
  <c r="BB33" i="3"/>
  <c r="O15" i="6" l="1"/>
  <c r="O30" i="6"/>
  <c r="O64" i="6"/>
  <c r="O78" i="6"/>
  <c r="O93" i="6"/>
  <c r="O31" i="6"/>
  <c r="O39" i="6"/>
  <c r="O24" i="6"/>
  <c r="O5" i="6"/>
  <c r="O96" i="6"/>
  <c r="O77" i="6"/>
  <c r="O62" i="6"/>
  <c r="O95" i="6"/>
  <c r="O88" i="6"/>
  <c r="O69" i="6"/>
  <c r="O54" i="6"/>
  <c r="O86" i="6"/>
  <c r="O8" i="6"/>
  <c r="O23" i="6"/>
  <c r="O42" i="6"/>
  <c r="O57" i="6"/>
  <c r="O76" i="6"/>
  <c r="O91" i="6"/>
  <c r="O10" i="6"/>
  <c r="O25" i="6"/>
  <c r="O44" i="6"/>
  <c r="O59" i="6"/>
  <c r="O82" i="6"/>
  <c r="O97" i="6"/>
  <c r="O9" i="6"/>
  <c r="O28" i="6"/>
  <c r="O43" i="6"/>
  <c r="O38" i="6"/>
  <c r="O53" i="6"/>
  <c r="O72" i="6"/>
  <c r="O87" i="6"/>
  <c r="O11" i="6"/>
  <c r="O6" i="6"/>
  <c r="O21" i="6"/>
  <c r="O40" i="6"/>
  <c r="O55" i="6"/>
  <c r="O74" i="6"/>
  <c r="O89" i="6"/>
  <c r="O83" i="6"/>
  <c r="O68" i="6"/>
  <c r="O49" i="6"/>
  <c r="O34" i="6"/>
  <c r="O19" i="6"/>
  <c r="O4" i="6"/>
  <c r="O14" i="6"/>
  <c r="O29" i="6"/>
  <c r="O48" i="6"/>
  <c r="O45" i="6"/>
  <c r="O79" i="6"/>
  <c r="O94" i="6"/>
  <c r="O80" i="6"/>
  <c r="O61" i="6"/>
  <c r="O46" i="6"/>
  <c r="O47" i="6"/>
  <c r="O32" i="6"/>
  <c r="O13" i="6"/>
  <c r="O63" i="6"/>
  <c r="O16" i="6"/>
  <c r="O7" i="6"/>
  <c r="O58" i="6"/>
  <c r="O73" i="6"/>
  <c r="O92" i="6"/>
  <c r="O2" i="6"/>
  <c r="O20" i="6"/>
  <c r="O35" i="6"/>
  <c r="O26" i="6"/>
  <c r="O41" i="6"/>
  <c r="O60" i="6"/>
  <c r="O75" i="6"/>
  <c r="O70" i="6"/>
  <c r="O85" i="6"/>
  <c r="O22" i="6"/>
  <c r="O37" i="6"/>
  <c r="O56" i="6"/>
  <c r="O71" i="6"/>
  <c r="O12" i="6"/>
  <c r="O27" i="6"/>
  <c r="O50" i="6"/>
  <c r="O65" i="6"/>
  <c r="O84" i="6"/>
  <c r="O90" i="6"/>
  <c r="O18" i="6"/>
  <c r="O33" i="6"/>
  <c r="O52" i="6"/>
  <c r="O67" i="6"/>
  <c r="O98" i="6"/>
  <c r="O17" i="6"/>
  <c r="O36" i="6"/>
  <c r="O51" i="6"/>
  <c r="O66" i="6"/>
  <c r="O81" i="6"/>
  <c r="O3" i="6"/>
  <c r="BF32" i="3"/>
  <c r="BE32" i="3"/>
  <c r="BD32" i="3"/>
  <c r="BC33" i="3"/>
  <c r="BB34" i="3"/>
  <c r="BF33" i="3" l="1"/>
  <c r="BE33" i="3"/>
  <c r="BD33" i="3"/>
  <c r="BB35" i="3"/>
  <c r="BC34" i="3"/>
  <c r="BF34" i="3" l="1"/>
  <c r="BD34" i="3"/>
  <c r="BE34" i="3"/>
  <c r="BB36" i="3"/>
  <c r="BC35" i="3"/>
  <c r="BF35" i="3" l="1"/>
  <c r="BE35" i="3"/>
  <c r="BD35" i="3"/>
  <c r="BC36" i="3"/>
  <c r="BB37" i="3"/>
  <c r="BD36" i="3" l="1"/>
  <c r="BF36" i="3"/>
  <c r="BE36" i="3"/>
  <c r="BB38" i="3"/>
  <c r="BC37" i="3"/>
  <c r="BF37" i="3" l="1"/>
  <c r="BE37" i="3"/>
  <c r="BD37" i="3"/>
  <c r="BB39" i="3"/>
  <c r="BC38" i="3"/>
  <c r="BF38" i="3" l="1"/>
  <c r="BD38" i="3"/>
  <c r="BE38" i="3"/>
  <c r="BC39" i="3"/>
  <c r="BB40" i="3"/>
  <c r="BF39" i="3" l="1"/>
  <c r="BE39" i="3"/>
  <c r="BD39" i="3"/>
  <c r="BB41" i="3"/>
  <c r="BC40" i="3"/>
  <c r="BD40" i="3" l="1"/>
  <c r="BF40" i="3"/>
  <c r="BE40" i="3"/>
  <c r="BB42" i="3"/>
  <c r="BC41" i="3"/>
  <c r="BF41" i="3" l="1"/>
  <c r="BE41" i="3"/>
  <c r="BD41" i="3"/>
  <c r="BC42" i="3"/>
  <c r="BB43" i="3"/>
  <c r="BF42" i="3" l="1"/>
  <c r="BD42" i="3"/>
  <c r="BE42" i="3"/>
  <c r="BB44" i="3"/>
  <c r="BC43" i="3"/>
  <c r="BF43" i="3" l="1"/>
  <c r="BE43" i="3"/>
  <c r="BD43" i="3"/>
  <c r="BC44" i="3"/>
  <c r="BB45" i="3"/>
  <c r="BD44" i="3" l="1"/>
  <c r="BF44" i="3"/>
  <c r="BE44" i="3"/>
  <c r="BC45" i="3"/>
  <c r="BB46" i="3"/>
  <c r="BF45" i="3" l="1"/>
  <c r="BE45" i="3"/>
  <c r="BD45" i="3"/>
  <c r="BB47" i="3"/>
  <c r="BC46" i="3"/>
  <c r="BF46" i="3" l="1"/>
  <c r="BD46" i="3"/>
  <c r="BE46" i="3"/>
  <c r="BB48" i="3"/>
  <c r="BC47" i="3"/>
  <c r="BF47" i="3" l="1"/>
  <c r="BE47" i="3"/>
  <c r="BD47" i="3"/>
  <c r="BB49" i="3"/>
  <c r="BC48" i="3"/>
  <c r="BD48" i="3" l="1"/>
  <c r="BF48" i="3"/>
  <c r="BE48" i="3"/>
  <c r="BB50" i="3"/>
  <c r="BC49" i="3"/>
  <c r="BF49" i="3" l="1"/>
  <c r="BE49" i="3"/>
  <c r="BD49" i="3"/>
  <c r="BB51" i="3"/>
  <c r="BC50" i="3"/>
  <c r="BF50" i="3" l="1"/>
  <c r="BD50" i="3"/>
  <c r="BE50" i="3"/>
  <c r="BB52" i="3"/>
  <c r="BC51" i="3"/>
  <c r="BF51" i="3" l="1"/>
  <c r="BE51" i="3"/>
  <c r="BD51" i="3"/>
  <c r="BB53" i="3"/>
  <c r="BC52" i="3"/>
  <c r="BD52" i="3" l="1"/>
  <c r="BF52" i="3"/>
  <c r="BE52" i="3"/>
  <c r="BB54" i="3"/>
  <c r="BC53" i="3"/>
  <c r="BF53" i="3" l="1"/>
  <c r="BE53" i="3"/>
  <c r="BD53" i="3"/>
  <c r="BB55" i="3"/>
  <c r="BC54" i="3"/>
  <c r="BF54" i="3" l="1"/>
  <c r="BD54" i="3"/>
  <c r="BE54" i="3"/>
  <c r="BB56" i="3"/>
  <c r="BC55" i="3"/>
  <c r="BF55" i="3" l="1"/>
  <c r="BE55" i="3"/>
  <c r="BD55" i="3"/>
  <c r="BB57" i="3"/>
  <c r="BC56" i="3"/>
  <c r="BD56" i="3" l="1"/>
  <c r="BF56" i="3"/>
  <c r="BE56" i="3"/>
  <c r="BB58" i="3"/>
  <c r="BC57" i="3"/>
  <c r="BF57" i="3" l="1"/>
  <c r="BE57" i="3"/>
  <c r="BD57" i="3"/>
  <c r="BC58" i="3"/>
  <c r="BB59" i="3"/>
  <c r="BF58" i="3" l="1"/>
  <c r="BD58" i="3"/>
  <c r="BE58" i="3"/>
  <c r="BB60" i="3"/>
  <c r="BC59" i="3"/>
  <c r="BF59" i="3" l="1"/>
  <c r="BE59" i="3"/>
  <c r="BD59" i="3"/>
  <c r="BB61" i="3"/>
  <c r="BC60" i="3"/>
  <c r="BD60" i="3" l="1"/>
  <c r="BF60" i="3"/>
  <c r="BE60" i="3"/>
  <c r="BC61" i="3"/>
  <c r="BB62" i="3"/>
  <c r="BF61" i="3" l="1"/>
  <c r="BE61" i="3"/>
  <c r="BD61" i="3"/>
  <c r="BB63" i="3"/>
  <c r="BC62" i="3"/>
  <c r="BF62" i="3" l="1"/>
  <c r="BD62" i="3"/>
  <c r="BE62" i="3"/>
  <c r="BB64" i="3"/>
  <c r="BC63" i="3"/>
  <c r="BF63" i="3" l="1"/>
  <c r="BE63" i="3"/>
  <c r="BD63" i="3"/>
  <c r="BB65" i="3"/>
  <c r="BC64" i="3"/>
  <c r="BD64" i="3" l="1"/>
  <c r="BF64" i="3"/>
  <c r="BE64" i="3"/>
  <c r="BB66" i="3"/>
  <c r="BC65" i="3"/>
  <c r="BF65" i="3" l="1"/>
  <c r="BE65" i="3"/>
  <c r="BD65" i="3"/>
  <c r="BB67" i="3"/>
  <c r="BC66" i="3"/>
  <c r="BF66" i="3" l="1"/>
  <c r="BD66" i="3"/>
  <c r="BE66" i="3"/>
  <c r="BB68" i="3"/>
  <c r="BC67" i="3"/>
  <c r="BF67" i="3" l="1"/>
  <c r="BE67" i="3"/>
  <c r="BD67" i="3"/>
  <c r="BB69" i="3"/>
  <c r="BC68" i="3"/>
  <c r="BD68" i="3" l="1"/>
  <c r="BF68" i="3"/>
  <c r="BE68" i="3"/>
  <c r="BB70" i="3"/>
  <c r="BC69" i="3"/>
  <c r="BF69" i="3" l="1"/>
  <c r="BE69" i="3"/>
  <c r="BD69" i="3"/>
  <c r="BB71" i="3"/>
  <c r="BC70" i="3"/>
  <c r="BF70" i="3" l="1"/>
  <c r="BD70" i="3"/>
  <c r="BE70" i="3"/>
  <c r="BB72" i="3"/>
  <c r="BC71" i="3"/>
  <c r="BF71" i="3" l="1"/>
  <c r="BE71" i="3"/>
  <c r="BD71" i="3"/>
  <c r="BB73" i="3"/>
  <c r="BC72" i="3"/>
  <c r="BD72" i="3" l="1"/>
  <c r="BF72" i="3"/>
  <c r="BE72" i="3"/>
  <c r="BB74" i="3"/>
  <c r="BC73" i="3"/>
  <c r="BF73" i="3" l="1"/>
  <c r="BE73" i="3"/>
  <c r="BD73" i="3"/>
  <c r="BB75" i="3"/>
  <c r="BC74" i="3"/>
  <c r="BF74" i="3" l="1"/>
  <c r="BD74" i="3"/>
  <c r="BE74" i="3"/>
  <c r="BB76" i="3"/>
  <c r="BC75" i="3"/>
  <c r="BF75" i="3" l="1"/>
  <c r="BE75" i="3"/>
  <c r="BD75" i="3"/>
  <c r="BB77" i="3"/>
  <c r="BC76" i="3"/>
  <c r="BD76" i="3" l="1"/>
  <c r="BF76" i="3"/>
  <c r="BE76" i="3"/>
  <c r="BB78" i="3"/>
  <c r="BC77" i="3"/>
  <c r="BF77" i="3" l="1"/>
  <c r="BE77" i="3"/>
  <c r="BD77" i="3"/>
  <c r="BB79" i="3"/>
  <c r="BC78" i="3"/>
  <c r="BF78" i="3" l="1"/>
  <c r="BD78" i="3"/>
  <c r="BE78" i="3"/>
  <c r="BB80" i="3"/>
  <c r="BC79" i="3"/>
  <c r="BF79" i="3" l="1"/>
  <c r="BE79" i="3"/>
  <c r="BD79" i="3"/>
  <c r="BB81" i="3"/>
  <c r="BC80" i="3"/>
  <c r="BD80" i="3" l="1"/>
  <c r="BF80" i="3"/>
  <c r="BE80" i="3"/>
  <c r="BB82" i="3"/>
  <c r="BC81" i="3"/>
  <c r="BF81" i="3" l="1"/>
  <c r="BE81" i="3"/>
  <c r="BD81" i="3"/>
  <c r="BB83" i="3"/>
  <c r="BC82" i="3"/>
  <c r="BF82" i="3" l="1"/>
  <c r="BD82" i="3"/>
  <c r="BE82" i="3"/>
  <c r="BB84" i="3"/>
  <c r="BC83" i="3"/>
  <c r="BF83" i="3" l="1"/>
  <c r="BE83" i="3"/>
  <c r="BD83" i="3"/>
  <c r="BB85" i="3"/>
  <c r="BC84" i="3"/>
  <c r="BD84" i="3" l="1"/>
  <c r="BF84" i="3"/>
  <c r="BE84" i="3"/>
  <c r="BB86" i="3"/>
  <c r="BC85" i="3"/>
  <c r="BF85" i="3" l="1"/>
  <c r="BE85" i="3"/>
  <c r="BD85" i="3"/>
  <c r="BB87" i="3"/>
  <c r="BC86" i="3"/>
  <c r="BF86" i="3" l="1"/>
  <c r="BD86" i="3"/>
  <c r="BE86" i="3"/>
  <c r="BB88" i="3"/>
  <c r="BC87" i="3"/>
  <c r="BF87" i="3" l="1"/>
  <c r="BE87" i="3"/>
  <c r="BD87" i="3"/>
  <c r="BB89" i="3"/>
  <c r="BC88" i="3"/>
  <c r="BD88" i="3" l="1"/>
  <c r="BF88" i="3"/>
  <c r="BE88" i="3"/>
  <c r="BC89" i="3"/>
  <c r="BB90" i="3"/>
  <c r="BF89" i="3" l="1"/>
  <c r="BE89" i="3"/>
  <c r="BD89" i="3"/>
  <c r="BB91" i="3"/>
  <c r="BC90" i="3"/>
  <c r="BF90" i="3" l="1"/>
  <c r="BD90" i="3"/>
  <c r="BE90" i="3"/>
  <c r="BB92" i="3"/>
  <c r="BC91" i="3"/>
  <c r="BF91" i="3" l="1"/>
  <c r="BE91" i="3"/>
  <c r="BD91" i="3"/>
  <c r="BB93" i="3"/>
  <c r="BC92" i="3"/>
  <c r="BD92" i="3" l="1"/>
  <c r="BF92" i="3"/>
  <c r="BE92" i="3"/>
  <c r="BB94" i="3"/>
  <c r="BC93" i="3"/>
  <c r="BF93" i="3" l="1"/>
  <c r="BE93" i="3"/>
  <c r="BD93" i="3"/>
  <c r="BB95" i="3"/>
  <c r="BC94" i="3"/>
  <c r="BF94" i="3" l="1"/>
  <c r="BD94" i="3"/>
  <c r="BE94" i="3"/>
  <c r="BB96" i="3"/>
  <c r="BC95" i="3"/>
  <c r="BF95" i="3" l="1"/>
  <c r="BE95" i="3"/>
  <c r="BD95" i="3"/>
  <c r="BB97" i="3"/>
  <c r="BC96" i="3"/>
  <c r="BD96" i="3" l="1"/>
  <c r="BF96" i="3"/>
  <c r="BE96" i="3"/>
  <c r="BB98" i="3"/>
  <c r="BC97" i="3"/>
  <c r="BF97" i="3" l="1"/>
  <c r="BE97" i="3"/>
  <c r="BD97" i="3"/>
  <c r="BB99" i="3"/>
  <c r="BC98" i="3"/>
  <c r="BF98" i="3" l="1"/>
  <c r="BD98" i="3"/>
  <c r="BE98" i="3"/>
  <c r="BB100" i="3"/>
  <c r="BC99" i="3"/>
  <c r="BF99" i="3" l="1"/>
  <c r="BE99" i="3"/>
  <c r="BD99" i="3"/>
  <c r="BB101" i="3"/>
  <c r="BC100" i="3"/>
  <c r="BD100" i="3" l="1"/>
  <c r="BF100" i="3"/>
  <c r="BE100" i="3"/>
  <c r="BB102" i="3"/>
  <c r="BC101" i="3"/>
  <c r="BF101" i="3" l="1"/>
  <c r="BE101" i="3"/>
  <c r="BD101" i="3"/>
  <c r="BB103" i="3"/>
  <c r="BC102" i="3"/>
  <c r="BD102" i="3" l="1"/>
  <c r="BF102" i="3"/>
  <c r="BE102" i="3"/>
  <c r="BB104" i="3"/>
  <c r="BC103" i="3"/>
  <c r="BF103" i="3" l="1"/>
  <c r="BE103" i="3"/>
  <c r="BD103" i="3"/>
  <c r="BB105" i="3"/>
  <c r="BC104" i="3"/>
  <c r="BD104" i="3" l="1"/>
  <c r="BF104" i="3"/>
  <c r="BE104" i="3"/>
  <c r="BB106" i="3"/>
  <c r="BC105" i="3"/>
  <c r="BF105" i="3" l="1"/>
  <c r="BE105" i="3"/>
  <c r="BD105" i="3"/>
  <c r="BB107" i="3"/>
  <c r="BC106" i="3"/>
  <c r="BD106" i="3" l="1"/>
  <c r="BF106" i="3"/>
  <c r="BE106" i="3"/>
  <c r="BB108" i="3"/>
  <c r="BC107" i="3"/>
  <c r="BF107" i="3" l="1"/>
  <c r="BE107" i="3"/>
  <c r="BD107" i="3"/>
  <c r="BB109" i="3"/>
  <c r="BC108" i="3"/>
  <c r="BD108" i="3" l="1"/>
  <c r="BF108" i="3"/>
  <c r="BE108" i="3"/>
  <c r="BB110" i="3"/>
  <c r="BC109" i="3"/>
  <c r="BF109" i="3" l="1"/>
  <c r="BE109" i="3"/>
  <c r="BD109" i="3"/>
  <c r="BB111" i="3"/>
  <c r="BC110" i="3"/>
  <c r="BD110" i="3" l="1"/>
  <c r="BF110" i="3"/>
  <c r="BE110" i="3"/>
  <c r="BB112" i="3"/>
  <c r="BC111" i="3"/>
  <c r="BF111" i="3" l="1"/>
  <c r="BE111" i="3"/>
  <c r="BD111" i="3"/>
  <c r="BB113" i="3"/>
  <c r="BC112" i="3"/>
  <c r="BD112" i="3" l="1"/>
  <c r="BF112" i="3"/>
  <c r="BE112" i="3"/>
  <c r="BB114" i="3"/>
  <c r="BC113" i="3"/>
  <c r="BF113" i="3" l="1"/>
  <c r="BE113" i="3"/>
  <c r="BD113" i="3"/>
  <c r="BB115" i="3"/>
  <c r="BC114" i="3"/>
  <c r="BD114" i="3" l="1"/>
  <c r="BF114" i="3"/>
  <c r="BE114" i="3"/>
  <c r="BB116" i="3"/>
  <c r="BC115" i="3"/>
  <c r="BF115" i="3" l="1"/>
  <c r="BE115" i="3"/>
  <c r="BD115" i="3"/>
  <c r="BB117" i="3"/>
  <c r="BC116" i="3"/>
  <c r="BD116" i="3" l="1"/>
  <c r="BF116" i="3"/>
  <c r="BE116" i="3"/>
  <c r="BB118" i="3"/>
  <c r="BC117" i="3"/>
  <c r="BF117" i="3" l="1"/>
  <c r="BE117" i="3"/>
  <c r="BD117" i="3"/>
  <c r="BB119" i="3"/>
  <c r="BC118" i="3"/>
  <c r="BD118" i="3" l="1"/>
  <c r="BF118" i="3"/>
  <c r="BE118" i="3"/>
  <c r="BB120" i="3"/>
  <c r="BC119" i="3"/>
  <c r="BF119" i="3" l="1"/>
  <c r="BE119" i="3"/>
  <c r="BD119" i="3"/>
  <c r="BB121" i="3"/>
  <c r="BC120" i="3"/>
  <c r="BD120" i="3" l="1"/>
  <c r="BF120" i="3"/>
  <c r="BE120" i="3"/>
  <c r="BB122" i="3"/>
  <c r="BC121" i="3"/>
  <c r="BF121" i="3" l="1"/>
  <c r="BE121" i="3"/>
  <c r="BD121" i="3"/>
  <c r="BB123" i="3"/>
  <c r="BC122" i="3"/>
  <c r="BD122" i="3" l="1"/>
  <c r="BF122" i="3"/>
  <c r="BE122" i="3"/>
  <c r="BB124" i="3"/>
  <c r="BC123" i="3"/>
  <c r="BF123" i="3" l="1"/>
  <c r="BE123" i="3"/>
  <c r="BD123" i="3"/>
  <c r="BB125" i="3"/>
  <c r="BC124" i="3"/>
  <c r="BD124" i="3" l="1"/>
  <c r="BF124" i="3"/>
  <c r="BE124" i="3"/>
  <c r="BB126" i="3"/>
  <c r="BC125" i="3"/>
  <c r="BF125" i="3" l="1"/>
  <c r="BE125" i="3"/>
  <c r="BD125" i="3"/>
  <c r="BC126" i="3"/>
  <c r="BB127" i="3"/>
  <c r="BD126" i="3" l="1"/>
  <c r="BF126" i="3"/>
  <c r="BE126" i="3"/>
  <c r="BB128" i="3"/>
  <c r="BC127" i="3"/>
  <c r="BF127" i="3" l="1"/>
  <c r="BE127" i="3"/>
  <c r="BD127" i="3"/>
  <c r="BB129" i="3"/>
  <c r="BC128" i="3"/>
  <c r="BD128" i="3" l="1"/>
  <c r="BF128" i="3"/>
  <c r="BE128" i="3"/>
  <c r="BB130" i="3"/>
  <c r="BC129" i="3"/>
  <c r="BF129" i="3" l="1"/>
  <c r="BE129" i="3"/>
  <c r="BD129" i="3"/>
  <c r="BB131" i="3"/>
  <c r="BC130" i="3"/>
  <c r="BD130" i="3" l="1"/>
  <c r="BF130" i="3"/>
  <c r="BE130" i="3"/>
  <c r="BB132" i="3"/>
  <c r="BC131" i="3"/>
  <c r="BF131" i="3" l="1"/>
  <c r="BE131" i="3"/>
  <c r="BD131" i="3"/>
  <c r="BC132" i="3"/>
  <c r="BB133" i="3"/>
  <c r="BD132" i="3" l="1"/>
  <c r="BF132" i="3"/>
  <c r="BE132" i="3"/>
  <c r="BB134" i="3"/>
  <c r="BC133" i="3"/>
  <c r="BF133" i="3" l="1"/>
  <c r="BE133" i="3"/>
  <c r="BD133" i="3"/>
  <c r="BB135" i="3"/>
  <c r="BC134" i="3"/>
  <c r="BD134" i="3" l="1"/>
  <c r="BF134" i="3"/>
  <c r="BE134" i="3"/>
  <c r="BB136" i="3"/>
  <c r="BC135" i="3"/>
  <c r="BF135" i="3" l="1"/>
  <c r="BE135" i="3"/>
  <c r="BD135" i="3"/>
  <c r="BC136" i="3"/>
  <c r="BB137" i="3"/>
  <c r="BD136" i="3" l="1"/>
  <c r="BF136" i="3"/>
  <c r="BE136" i="3"/>
  <c r="BB138" i="3"/>
  <c r="BC137" i="3"/>
  <c r="BF137" i="3" l="1"/>
  <c r="BE137" i="3"/>
  <c r="BD137" i="3"/>
  <c r="BB139" i="3"/>
  <c r="BC138" i="3"/>
  <c r="BD138" i="3" l="1"/>
  <c r="BF138" i="3"/>
  <c r="BE138" i="3"/>
  <c r="BC139" i="3"/>
  <c r="BB140" i="3"/>
  <c r="BF139" i="3" l="1"/>
  <c r="BE139" i="3"/>
  <c r="BD139" i="3"/>
  <c r="BB141" i="3"/>
  <c r="BC140" i="3"/>
  <c r="BD140" i="3" l="1"/>
  <c r="BF140" i="3"/>
  <c r="BE140" i="3"/>
  <c r="BB142" i="3"/>
  <c r="BC141" i="3"/>
  <c r="BF141" i="3" l="1"/>
  <c r="BE141" i="3"/>
  <c r="BD141" i="3"/>
  <c r="BB143" i="3"/>
  <c r="BC142" i="3"/>
  <c r="B129" i="3"/>
  <c r="L129" i="3" s="1"/>
  <c r="M129" i="3" l="1"/>
  <c r="BD142" i="3"/>
  <c r="BF142" i="3"/>
  <c r="BE142" i="3"/>
  <c r="BB144" i="3"/>
  <c r="B130" i="3"/>
  <c r="L130" i="3" s="1"/>
  <c r="BC143" i="3"/>
  <c r="M130" i="3" l="1"/>
  <c r="BF143" i="3"/>
  <c r="BE143" i="3"/>
  <c r="BD143" i="3"/>
  <c r="BB145" i="3"/>
  <c r="BC144" i="3"/>
  <c r="B131" i="3"/>
  <c r="L131" i="3" s="1"/>
  <c r="M131" i="3" l="1"/>
  <c r="BD144" i="3"/>
  <c r="BF144" i="3"/>
  <c r="BE144" i="3"/>
  <c r="B132" i="3"/>
  <c r="L132" i="3" s="1"/>
  <c r="BB146" i="3"/>
  <c r="BC145" i="3"/>
  <c r="M132" i="3" l="1"/>
  <c r="BF145" i="3"/>
  <c r="BE145" i="3"/>
  <c r="BD145" i="3"/>
  <c r="BB147" i="3"/>
  <c r="BC146" i="3"/>
  <c r="B133" i="3"/>
  <c r="L133" i="3" s="1"/>
  <c r="M133" i="3" l="1"/>
  <c r="BD146" i="3"/>
  <c r="BF146" i="3"/>
  <c r="BE146" i="3"/>
  <c r="BB148" i="3"/>
  <c r="BC147" i="3"/>
  <c r="B134" i="3"/>
  <c r="L134" i="3" s="1"/>
  <c r="M134" i="3" l="1"/>
  <c r="BF147" i="3"/>
  <c r="BE147" i="3"/>
  <c r="BD147" i="3"/>
  <c r="BC148" i="3"/>
  <c r="B135" i="3"/>
  <c r="L135" i="3" s="1"/>
  <c r="BB149" i="3"/>
  <c r="M135" i="3" l="1"/>
  <c r="BD148" i="3"/>
  <c r="BF148" i="3"/>
  <c r="BE148" i="3"/>
  <c r="BB150" i="3"/>
  <c r="BC149" i="3"/>
  <c r="B136" i="3"/>
  <c r="L136" i="3" s="1"/>
  <c r="M136" i="3" l="1"/>
  <c r="BF149" i="3"/>
  <c r="BE149" i="3"/>
  <c r="BD149" i="3"/>
  <c r="B137" i="3"/>
  <c r="L137" i="3" s="1"/>
  <c r="BB151" i="3"/>
  <c r="BC150" i="3"/>
  <c r="M137" i="3" l="1"/>
  <c r="BD150" i="3"/>
  <c r="BF150" i="3"/>
  <c r="BE150" i="3"/>
  <c r="BB152" i="3"/>
  <c r="BC151" i="3"/>
  <c r="B138" i="3"/>
  <c r="L138" i="3" s="1"/>
  <c r="M138" i="3" l="1"/>
  <c r="BF151" i="3"/>
  <c r="BE151" i="3"/>
  <c r="BD151" i="3"/>
  <c r="BC152" i="3"/>
  <c r="B139" i="3"/>
  <c r="L139" i="3" s="1"/>
  <c r="BB153" i="3"/>
  <c r="M139" i="3" l="1"/>
  <c r="BD152" i="3"/>
  <c r="BF152" i="3"/>
  <c r="BE152" i="3"/>
  <c r="BB154" i="3"/>
  <c r="B140" i="3"/>
  <c r="L140" i="3" s="1"/>
  <c r="BC153" i="3"/>
  <c r="M140" i="3" l="1"/>
  <c r="BF153" i="3"/>
  <c r="BE153" i="3"/>
  <c r="BD153" i="3"/>
  <c r="BB155" i="3"/>
  <c r="BC154" i="3"/>
  <c r="B141" i="3"/>
  <c r="L141" i="3" s="1"/>
  <c r="M141" i="3" l="1"/>
  <c r="BD154" i="3"/>
  <c r="BF154" i="3"/>
  <c r="BE154" i="3"/>
  <c r="BC155" i="3"/>
  <c r="B142" i="3"/>
  <c r="L142" i="3" s="1"/>
  <c r="M142" i="3" l="1"/>
  <c r="BF155" i="3"/>
  <c r="BE155" i="3"/>
  <c r="BD155" i="3"/>
  <c r="BH32" i="3" l="1"/>
  <c r="BH145" i="3"/>
  <c r="BH143" i="3"/>
  <c r="BH150" i="3"/>
  <c r="BH86" i="3"/>
  <c r="BH141" i="3"/>
  <c r="BH139" i="3"/>
  <c r="BH148" i="3"/>
  <c r="BH84" i="3"/>
  <c r="BH137" i="3"/>
  <c r="BH135" i="3"/>
  <c r="BH146" i="3"/>
  <c r="BH82" i="3"/>
  <c r="BH133" i="3"/>
  <c r="BH131" i="3"/>
  <c r="BH144" i="3"/>
  <c r="BH80" i="3"/>
  <c r="BH113" i="3"/>
  <c r="BH111" i="3"/>
  <c r="BH134" i="3"/>
  <c r="BH70" i="3"/>
  <c r="BH109" i="3"/>
  <c r="BH107" i="3"/>
  <c r="BH132" i="3"/>
  <c r="BH68" i="3"/>
  <c r="BH105" i="3"/>
  <c r="BH103" i="3"/>
  <c r="BH130" i="3"/>
  <c r="BH66" i="3"/>
  <c r="BH101" i="3"/>
  <c r="BH99" i="3"/>
  <c r="BH128" i="3"/>
  <c r="BH64" i="3"/>
  <c r="BE156" i="3"/>
  <c r="BH33" i="3"/>
  <c r="BH31" i="3"/>
  <c r="BH94" i="3"/>
  <c r="BH30" i="3"/>
  <c r="BH155" i="3"/>
  <c r="BH156" i="3"/>
  <c r="BH92" i="3"/>
  <c r="BH153" i="3"/>
  <c r="BH151" i="3"/>
  <c r="BH154" i="3"/>
  <c r="BH90" i="3"/>
  <c r="BH149" i="3"/>
  <c r="BH147" i="3"/>
  <c r="BH152" i="3"/>
  <c r="BH88" i="3"/>
  <c r="BH81" i="3"/>
  <c r="BH79" i="3"/>
  <c r="BH118" i="3"/>
  <c r="BH54" i="3"/>
  <c r="BH77" i="3"/>
  <c r="BH75" i="3"/>
  <c r="BH116" i="3"/>
  <c r="BH52" i="3"/>
  <c r="BH73" i="3"/>
  <c r="BH71" i="3"/>
  <c r="BH114" i="3"/>
  <c r="BH50" i="3"/>
  <c r="BH69" i="3"/>
  <c r="BH67" i="3"/>
  <c r="BH112" i="3"/>
  <c r="BH48" i="3"/>
  <c r="BH49" i="3"/>
  <c r="BH47" i="3"/>
  <c r="BH102" i="3"/>
  <c r="BH38" i="3"/>
  <c r="BH45" i="3"/>
  <c r="BH43" i="3"/>
  <c r="BH100" i="3"/>
  <c r="BH36" i="3"/>
  <c r="BH41" i="3"/>
  <c r="BH39" i="3"/>
  <c r="BH98" i="3"/>
  <c r="BH34" i="3"/>
  <c r="BH37" i="3"/>
  <c r="BH35" i="3"/>
  <c r="BH96" i="3"/>
  <c r="BH97" i="3"/>
  <c r="BH95" i="3"/>
  <c r="BH126" i="3"/>
  <c r="BH62" i="3"/>
  <c r="BH93" i="3"/>
  <c r="BH91" i="3"/>
  <c r="BH124" i="3"/>
  <c r="BH60" i="3"/>
  <c r="BH89" i="3"/>
  <c r="BH87" i="3"/>
  <c r="BH122" i="3"/>
  <c r="BH58" i="3"/>
  <c r="BH85" i="3"/>
  <c r="BH83" i="3"/>
  <c r="BH120" i="3"/>
  <c r="BH56" i="3"/>
  <c r="BH40" i="3"/>
  <c r="BH104" i="3"/>
  <c r="BH51" i="3"/>
  <c r="BH53" i="3"/>
  <c r="BH42" i="3"/>
  <c r="BH106" i="3"/>
  <c r="BH55" i="3"/>
  <c r="BH57" i="3"/>
  <c r="BH44" i="3"/>
  <c r="BH108" i="3"/>
  <c r="BH59" i="3"/>
  <c r="BH61" i="3"/>
  <c r="BH46" i="3"/>
  <c r="BH110" i="3"/>
  <c r="BH63" i="3"/>
  <c r="BH65" i="3"/>
  <c r="BH72" i="3"/>
  <c r="BH136" i="3"/>
  <c r="BH115" i="3"/>
  <c r="BH117" i="3"/>
  <c r="BH74" i="3"/>
  <c r="BH138" i="3"/>
  <c r="BH119" i="3"/>
  <c r="BH121" i="3"/>
  <c r="BH76" i="3"/>
  <c r="BH140" i="3"/>
  <c r="BH123" i="3"/>
  <c r="BH125" i="3"/>
  <c r="BH78" i="3"/>
  <c r="BH142" i="3"/>
  <c r="BH127" i="3"/>
  <c r="BH129" i="3"/>
  <c r="BG37" i="3"/>
  <c r="BG61" i="3"/>
  <c r="BG125" i="3"/>
  <c r="BG92" i="3"/>
  <c r="BG90" i="3"/>
  <c r="BG91" i="3"/>
  <c r="BG152" i="3"/>
  <c r="BG87" i="3"/>
  <c r="BG144" i="3"/>
  <c r="BG49" i="3"/>
  <c r="BG113" i="3"/>
  <c r="BG68" i="3"/>
  <c r="BG66" i="3"/>
  <c r="BG67" i="3"/>
  <c r="BG104" i="3"/>
  <c r="BG63" i="3"/>
  <c r="BG96" i="3"/>
  <c r="BG53" i="3"/>
  <c r="BG117" i="3"/>
  <c r="BG76" i="3"/>
  <c r="BG74" i="3"/>
  <c r="BG75" i="3"/>
  <c r="BG120" i="3"/>
  <c r="BG71" i="3"/>
  <c r="BG112" i="3"/>
  <c r="BG57" i="3"/>
  <c r="BG121" i="3"/>
  <c r="BG84" i="3"/>
  <c r="BG82" i="3"/>
  <c r="BG83" i="3"/>
  <c r="BG136" i="3"/>
  <c r="BG79" i="3"/>
  <c r="BG128" i="3"/>
  <c r="BG126" i="3"/>
  <c r="BG93" i="3"/>
  <c r="BG30" i="3"/>
  <c r="BG156" i="3"/>
  <c r="BG154" i="3"/>
  <c r="BG155" i="3"/>
  <c r="BG150" i="3"/>
  <c r="BG151" i="3"/>
  <c r="BG142" i="3"/>
  <c r="BG81" i="3"/>
  <c r="BG145" i="3"/>
  <c r="BG132" i="3"/>
  <c r="BG130" i="3"/>
  <c r="BG131" i="3"/>
  <c r="BG102" i="3"/>
  <c r="BG127" i="3"/>
  <c r="BG94" i="3"/>
  <c r="BG85" i="3"/>
  <c r="BG149" i="3"/>
  <c r="BG140" i="3"/>
  <c r="BG138" i="3"/>
  <c r="BG139" i="3"/>
  <c r="BG118" i="3"/>
  <c r="BG135" i="3"/>
  <c r="BG110" i="3"/>
  <c r="BG89" i="3"/>
  <c r="BG153" i="3"/>
  <c r="BG148" i="3"/>
  <c r="BG146" i="3"/>
  <c r="BG147" i="3"/>
  <c r="BG134" i="3"/>
  <c r="BG143" i="3"/>
  <c r="BG62" i="3"/>
  <c r="BG111" i="3"/>
  <c r="BG70" i="3"/>
  <c r="BG115" i="3"/>
  <c r="BG114" i="3"/>
  <c r="BG116" i="3"/>
  <c r="BG137" i="3"/>
  <c r="BG73" i="3"/>
  <c r="BG46" i="3"/>
  <c r="BG103" i="3"/>
  <c r="BG54" i="3"/>
  <c r="BG107" i="3"/>
  <c r="BG106" i="3"/>
  <c r="BG108" i="3"/>
  <c r="BG133" i="3"/>
  <c r="BG69" i="3"/>
  <c r="BG32" i="3"/>
  <c r="BG31" i="3"/>
  <c r="BG40" i="3"/>
  <c r="BG35" i="3"/>
  <c r="BG34" i="3"/>
  <c r="BG36" i="3"/>
  <c r="BG97" i="3"/>
  <c r="BG33" i="3"/>
  <c r="BG80" i="3"/>
  <c r="BG55" i="3"/>
  <c r="BG88" i="3"/>
  <c r="BG59" i="3"/>
  <c r="BG58" i="3"/>
  <c r="BG60" i="3"/>
  <c r="BG109" i="3"/>
  <c r="BG45" i="3"/>
  <c r="BG64" i="3"/>
  <c r="BG47" i="3"/>
  <c r="BG72" i="3"/>
  <c r="BG51" i="3"/>
  <c r="BG50" i="3"/>
  <c r="BG52" i="3"/>
  <c r="BG105" i="3"/>
  <c r="BG41" i="3"/>
  <c r="BG48" i="3"/>
  <c r="BG39" i="3"/>
  <c r="BG56" i="3"/>
  <c r="BG43" i="3"/>
  <c r="BG42" i="3"/>
  <c r="BG44" i="3"/>
  <c r="BG101" i="3"/>
  <c r="BD156" i="3"/>
  <c r="BG95" i="3"/>
  <c r="BG38" i="3"/>
  <c r="BG99" i="3"/>
  <c r="BG98" i="3"/>
  <c r="BG100" i="3"/>
  <c r="BG129" i="3"/>
  <c r="BG65" i="3"/>
  <c r="BG78" i="3"/>
  <c r="BG119" i="3"/>
  <c r="BG86" i="3"/>
  <c r="BG123" i="3"/>
  <c r="BG122" i="3"/>
  <c r="BG124" i="3"/>
  <c r="BG141" i="3"/>
  <c r="BG77" i="3"/>
  <c r="BI37" i="3"/>
  <c r="BI62" i="3"/>
  <c r="BI47" i="3"/>
  <c r="BI70" i="3"/>
  <c r="BI51" i="3"/>
  <c r="BI52" i="3"/>
  <c r="BI50" i="3"/>
  <c r="BI105" i="3"/>
  <c r="BI41" i="3"/>
  <c r="BI78" i="3"/>
  <c r="BI55" i="3"/>
  <c r="BI86" i="3"/>
  <c r="BI59" i="3"/>
  <c r="BI60" i="3"/>
  <c r="BI58" i="3"/>
  <c r="BI109" i="3"/>
  <c r="BI45" i="3"/>
  <c r="BI64" i="3"/>
  <c r="BI111" i="3"/>
  <c r="BI72" i="3"/>
  <c r="BI115" i="3"/>
  <c r="BI116" i="3"/>
  <c r="BI114" i="3"/>
  <c r="BI137" i="3"/>
  <c r="BI73" i="3"/>
  <c r="BI80" i="3"/>
  <c r="BI119" i="3"/>
  <c r="BI88" i="3"/>
  <c r="BI123" i="3"/>
  <c r="BI124" i="3"/>
  <c r="BI122" i="3"/>
  <c r="BI141" i="3"/>
  <c r="BI77" i="3"/>
  <c r="BI61" i="3"/>
  <c r="BI125" i="3"/>
  <c r="BI90" i="3"/>
  <c r="BI92" i="3"/>
  <c r="BI91" i="3"/>
  <c r="BI150" i="3"/>
  <c r="BI87" i="3"/>
  <c r="BI142" i="3"/>
  <c r="BI57" i="3"/>
  <c r="BI121" i="3"/>
  <c r="BI82" i="3"/>
  <c r="BI84" i="3"/>
  <c r="BI83" i="3"/>
  <c r="BI134" i="3"/>
  <c r="BI79" i="3"/>
  <c r="BI126" i="3"/>
  <c r="BI93" i="3"/>
  <c r="BI30" i="3"/>
  <c r="BI154" i="3"/>
  <c r="BI156" i="3"/>
  <c r="BI155" i="3"/>
  <c r="BI152" i="3"/>
  <c r="BI151" i="3"/>
  <c r="BI144" i="3"/>
  <c r="BI89" i="3"/>
  <c r="BI153" i="3"/>
  <c r="BI146" i="3"/>
  <c r="BI148" i="3"/>
  <c r="BI147" i="3"/>
  <c r="BI136" i="3"/>
  <c r="BI143" i="3"/>
  <c r="BI128" i="3"/>
  <c r="BI94" i="3"/>
  <c r="BI63" i="3"/>
  <c r="BI102" i="3"/>
  <c r="BI67" i="3"/>
  <c r="BI68" i="3"/>
  <c r="BI66" i="3"/>
  <c r="BI113" i="3"/>
  <c r="BI49" i="3"/>
  <c r="BI110" i="3"/>
  <c r="BI71" i="3"/>
  <c r="BI118" i="3"/>
  <c r="BI75" i="3"/>
  <c r="BI76" i="3"/>
  <c r="BI74" i="3"/>
  <c r="BI117" i="3"/>
  <c r="BI53" i="3"/>
  <c r="BF156" i="3"/>
  <c r="BI31" i="3"/>
  <c r="BI38" i="3"/>
  <c r="BI35" i="3"/>
  <c r="BI36" i="3"/>
  <c r="BI34" i="3"/>
  <c r="BI97" i="3"/>
  <c r="BI33" i="3"/>
  <c r="BI46" i="3"/>
  <c r="BI39" i="3"/>
  <c r="BI54" i="3"/>
  <c r="BI43" i="3"/>
  <c r="BI44" i="3"/>
  <c r="BI42" i="3"/>
  <c r="BI101" i="3"/>
  <c r="BI96" i="3"/>
  <c r="BI127" i="3"/>
  <c r="BI104" i="3"/>
  <c r="BI131" i="3"/>
  <c r="BI132" i="3"/>
  <c r="BI130" i="3"/>
  <c r="BI145" i="3"/>
  <c r="BI81" i="3"/>
  <c r="BI112" i="3"/>
  <c r="BI135" i="3"/>
  <c r="BI120" i="3"/>
  <c r="BI139" i="3"/>
  <c r="BI140" i="3"/>
  <c r="BI138" i="3"/>
  <c r="BI149" i="3"/>
  <c r="BI85" i="3"/>
  <c r="BI32" i="3"/>
  <c r="BI95" i="3"/>
  <c r="BI40" i="3"/>
  <c r="BI99" i="3"/>
  <c r="BI100" i="3"/>
  <c r="BI98" i="3"/>
  <c r="BI129" i="3"/>
  <c r="BI65" i="3"/>
  <c r="BI48" i="3"/>
  <c r="BI103" i="3"/>
  <c r="BI56" i="3"/>
  <c r="BI107" i="3"/>
  <c r="BI108" i="3"/>
  <c r="BI106" i="3"/>
  <c r="BI133" i="3"/>
  <c r="BI69" i="3"/>
  <c r="BJ36" i="3" l="1"/>
  <c r="BJ34" i="3"/>
  <c r="BJ32" i="3"/>
  <c r="BJ30" i="3"/>
  <c r="BK30" i="3" s="1"/>
  <c r="BL30" i="3" s="1"/>
  <c r="BJ37" i="3"/>
  <c r="BJ35" i="3"/>
  <c r="BJ33" i="3"/>
  <c r="BJ31" i="3"/>
  <c r="BJ43" i="3"/>
  <c r="BJ39" i="3"/>
  <c r="BJ41" i="3"/>
  <c r="BJ42" i="3"/>
  <c r="BJ38" i="3"/>
  <c r="BJ40" i="3"/>
  <c r="BK31" i="3" l="1"/>
  <c r="BL31" i="3" s="1"/>
  <c r="B18" i="3" s="1"/>
  <c r="C18" i="3" s="1"/>
  <c r="B17" i="3"/>
  <c r="C17" i="3" s="1"/>
  <c r="BM30" i="3"/>
  <c r="M17" i="3" s="1"/>
  <c r="BM31" i="3" l="1"/>
  <c r="M18" i="3" s="1"/>
  <c r="BK32" i="3"/>
  <c r="BL32" i="3" s="1"/>
  <c r="BK33" i="3" l="1"/>
  <c r="BL33" i="3" s="1"/>
  <c r="B20" i="3" s="1"/>
  <c r="C20" i="3" s="1"/>
  <c r="B19" i="3"/>
  <c r="C19" i="3" s="1"/>
  <c r="BM32" i="3"/>
  <c r="M19" i="3" s="1"/>
  <c r="BM33" i="3" l="1"/>
  <c r="M20" i="3" s="1"/>
  <c r="BK34" i="3"/>
  <c r="BL34" i="3" s="1"/>
  <c r="B21" i="3" s="1"/>
  <c r="C21" i="3" s="1"/>
  <c r="BM34" i="3" l="1"/>
  <c r="M21" i="3" s="1"/>
  <c r="BK35" i="3"/>
  <c r="BL35" i="3" s="1"/>
  <c r="BM35" i="3" s="1"/>
  <c r="M22" i="3" s="1"/>
  <c r="B22" i="3" l="1"/>
  <c r="C22" i="3" s="1"/>
  <c r="BK36" i="3"/>
  <c r="BK37" i="3" s="1"/>
  <c r="BK38" i="3" s="1"/>
  <c r="BK39" i="3" s="1"/>
  <c r="BK40" i="3" s="1"/>
  <c r="BK41" i="3" s="1"/>
  <c r="BK42" i="3" s="1"/>
  <c r="BK43" i="3" s="1"/>
  <c r="BL36" i="3" l="1"/>
  <c r="B23" i="3" s="1"/>
  <c r="C23" i="3" s="1"/>
  <c r="AP64" i="20" s="1"/>
  <c r="BM36" i="3" l="1"/>
  <c r="M23" i="3" s="1"/>
</calcChain>
</file>

<file path=xl/comments1.xml><?xml version="1.0" encoding="utf-8"?>
<comments xmlns="http://schemas.openxmlformats.org/spreadsheetml/2006/main">
  <authors>
    <author>Klaas Casteleyn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Klaas Casteleyn:</t>
        </r>
        <r>
          <rPr>
            <sz val="9"/>
            <color indexed="81"/>
            <rFont val="Tahoma"/>
            <family val="2"/>
          </rPr>
          <t xml:space="preserve">
verplicht
</t>
        </r>
      </text>
    </comment>
    <comment ref="O5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skin sens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ozon</t>
        </r>
      </text>
    </comment>
    <comment ref="O6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skin iri</t>
        </r>
      </text>
    </comment>
    <comment ref="P6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eye iri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inhalation allergen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skin iri</t>
        </r>
      </text>
    </comment>
    <comment ref="R7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eye iri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Klaas Casteleyn:</t>
        </r>
        <r>
          <rPr>
            <sz val="8"/>
            <color indexed="81"/>
            <rFont val="Tahoma"/>
            <family val="2"/>
          </rPr>
          <t xml:space="preserve">
skin sens</t>
        </r>
      </text>
    </comment>
  </commentList>
</comments>
</file>

<file path=xl/sharedStrings.xml><?xml version="1.0" encoding="utf-8"?>
<sst xmlns="http://schemas.openxmlformats.org/spreadsheetml/2006/main" count="5096" uniqueCount="2580">
  <si>
    <t>P201</t>
  </si>
  <si>
    <t>P202</t>
  </si>
  <si>
    <t>P281</t>
  </si>
  <si>
    <t>P501</t>
  </si>
  <si>
    <t>P210</t>
  </si>
  <si>
    <t>P240</t>
  </si>
  <si>
    <t>P280</t>
  </si>
  <si>
    <t>P377</t>
  </si>
  <si>
    <t>P381</t>
  </si>
  <si>
    <t>P403</t>
  </si>
  <si>
    <t>H221</t>
  </si>
  <si>
    <t>P211</t>
  </si>
  <si>
    <t>P251</t>
  </si>
  <si>
    <t>P410 + P412</t>
  </si>
  <si>
    <t>H223</t>
  </si>
  <si>
    <t>H270</t>
  </si>
  <si>
    <t>P220</t>
  </si>
  <si>
    <t>P244</t>
  </si>
  <si>
    <t>P370 + P376</t>
  </si>
  <si>
    <t>H280</t>
  </si>
  <si>
    <t>P410 + P403</t>
  </si>
  <si>
    <t>H281</t>
  </si>
  <si>
    <t>P282</t>
  </si>
  <si>
    <t>P336</t>
  </si>
  <si>
    <t>P315</t>
  </si>
  <si>
    <t>H224</t>
  </si>
  <si>
    <t>P233</t>
  </si>
  <si>
    <t>P241</t>
  </si>
  <si>
    <t>P242</t>
  </si>
  <si>
    <t>P243</t>
  </si>
  <si>
    <t>P303 + P361 + P353</t>
  </si>
  <si>
    <t>P370 + P378</t>
  </si>
  <si>
    <t>P403 + P235</t>
  </si>
  <si>
    <t>H225</t>
  </si>
  <si>
    <t>H226</t>
  </si>
  <si>
    <t>H228</t>
  </si>
  <si>
    <t>H240</t>
  </si>
  <si>
    <t>P234</t>
  </si>
  <si>
    <t>P370 + P380 + P375</t>
  </si>
  <si>
    <t>P411</t>
  </si>
  <si>
    <t>P420</t>
  </si>
  <si>
    <t>H241</t>
  </si>
  <si>
    <t>H242</t>
  </si>
  <si>
    <t>H250</t>
  </si>
  <si>
    <t>P222</t>
  </si>
  <si>
    <t>P302 + P334</t>
  </si>
  <si>
    <t>P422</t>
  </si>
  <si>
    <t>P335 + P334</t>
  </si>
  <si>
    <t>H251</t>
  </si>
  <si>
    <t>P235 + P410</t>
  </si>
  <si>
    <t>P407</t>
  </si>
  <si>
    <t>P413</t>
  </si>
  <si>
    <t>H252</t>
  </si>
  <si>
    <t>H260</t>
  </si>
  <si>
    <t>P223</t>
  </si>
  <si>
    <t>P231 + P232</t>
  </si>
  <si>
    <t>P402 + P404</t>
  </si>
  <si>
    <t>H261</t>
  </si>
  <si>
    <t>H271</t>
  </si>
  <si>
    <t>P221</t>
  </si>
  <si>
    <t>P283</t>
  </si>
  <si>
    <t>P306 + P360</t>
  </si>
  <si>
    <t>P371 + P380 + P375</t>
  </si>
  <si>
    <t>H272</t>
  </si>
  <si>
    <t>P411 + P235</t>
  </si>
  <si>
    <t>P410</t>
  </si>
  <si>
    <t>H290</t>
  </si>
  <si>
    <t>P390</t>
  </si>
  <si>
    <t>P406</t>
  </si>
  <si>
    <t>H300</t>
  </si>
  <si>
    <t>P264</t>
  </si>
  <si>
    <t>P270</t>
  </si>
  <si>
    <t>P301 + P310</t>
  </si>
  <si>
    <t>P321</t>
  </si>
  <si>
    <t>P330</t>
  </si>
  <si>
    <t>P405</t>
  </si>
  <si>
    <t>H301</t>
  </si>
  <si>
    <t>H302</t>
  </si>
  <si>
    <t>P301 + P312</t>
  </si>
  <si>
    <t>H310</t>
  </si>
  <si>
    <t>P262</t>
  </si>
  <si>
    <t>P302 + P350</t>
  </si>
  <si>
    <t>P310</t>
  </si>
  <si>
    <t>P322</t>
  </si>
  <si>
    <t>P361</t>
  </si>
  <si>
    <t>P363</t>
  </si>
  <si>
    <t>H311</t>
  </si>
  <si>
    <t>P302 + P352</t>
  </si>
  <si>
    <t>P312</t>
  </si>
  <si>
    <t>H312</t>
  </si>
  <si>
    <t>P260</t>
  </si>
  <si>
    <t>P271</t>
  </si>
  <si>
    <t>P284</t>
  </si>
  <si>
    <t>P304 + P340</t>
  </si>
  <si>
    <t>P320</t>
  </si>
  <si>
    <t>P403 + P233</t>
  </si>
  <si>
    <t>P261</t>
  </si>
  <si>
    <t>P311</t>
  </si>
  <si>
    <t>H314</t>
  </si>
  <si>
    <t>P301 + P330 + P331</t>
  </si>
  <si>
    <t>P305 + P351 + P338</t>
  </si>
  <si>
    <t>H315</t>
  </si>
  <si>
    <t>P362</t>
  </si>
  <si>
    <t>H318</t>
  </si>
  <si>
    <t>H319</t>
  </si>
  <si>
    <t>P337 + P313</t>
  </si>
  <si>
    <t>H334</t>
  </si>
  <si>
    <t>P285</t>
  </si>
  <si>
    <t>P304 + P341</t>
  </si>
  <si>
    <t>P272</t>
  </si>
  <si>
    <t>P333 + P313</t>
  </si>
  <si>
    <t>H340</t>
  </si>
  <si>
    <t>P308 + P313</t>
  </si>
  <si>
    <t>H341</t>
  </si>
  <si>
    <t>H350</t>
  </si>
  <si>
    <t>P263</t>
  </si>
  <si>
    <t>H370</t>
  </si>
  <si>
    <t>P307 + P311</t>
  </si>
  <si>
    <t>H371</t>
  </si>
  <si>
    <t>P309 + P311</t>
  </si>
  <si>
    <t>H372</t>
  </si>
  <si>
    <t>P314</t>
  </si>
  <si>
    <t>H373</t>
  </si>
  <si>
    <t>H304</t>
  </si>
  <si>
    <t>P331</t>
  </si>
  <si>
    <t>H400</t>
  </si>
  <si>
    <t>P273</t>
  </si>
  <si>
    <t>P391</t>
  </si>
  <si>
    <t>H410</t>
  </si>
  <si>
    <t>H411</t>
  </si>
  <si>
    <t>H412</t>
  </si>
  <si>
    <t>H413</t>
  </si>
  <si>
    <t>Physical hazard</t>
  </si>
  <si>
    <t>Explosive</t>
  </si>
  <si>
    <t>Unst. Expl.</t>
  </si>
  <si>
    <t>Expl. 1.1</t>
  </si>
  <si>
    <t>Expl. 1.2</t>
  </si>
  <si>
    <t>Expl. 1.3</t>
  </si>
  <si>
    <t>Expl. 1.4</t>
  </si>
  <si>
    <t>Expl. 1.5</t>
  </si>
  <si>
    <t>Expl. 1.6</t>
  </si>
  <si>
    <t xml:space="preserve">Flammable gas </t>
  </si>
  <si>
    <t>Flam. Gas 1</t>
  </si>
  <si>
    <t>Flam. Gas 2</t>
  </si>
  <si>
    <t xml:space="preserve">Flammable aerosol </t>
  </si>
  <si>
    <t>Flam. Aerosol 1</t>
  </si>
  <si>
    <t>Flam. Aerosol 2</t>
  </si>
  <si>
    <t>Oxidising gas</t>
  </si>
  <si>
    <t>Ox. Gas 1</t>
  </si>
  <si>
    <t xml:space="preserve">Gases under pressure </t>
  </si>
  <si>
    <t>Flammable liquid</t>
  </si>
  <si>
    <t>Flam. Liq. 1</t>
  </si>
  <si>
    <t>Flam. Liq. 2</t>
  </si>
  <si>
    <t>Flam. Liq. 3</t>
  </si>
  <si>
    <t>Flammable solid</t>
  </si>
  <si>
    <t>Flam. Sol. 1</t>
  </si>
  <si>
    <t>Flam. Sol. 2</t>
  </si>
  <si>
    <t>Self-reactive substance or mixture</t>
  </si>
  <si>
    <t>Self-react. A</t>
  </si>
  <si>
    <t>Self-react. B</t>
  </si>
  <si>
    <t>Self-react. CD</t>
  </si>
  <si>
    <t>Self-react. EF</t>
  </si>
  <si>
    <t>Self-react. G</t>
  </si>
  <si>
    <t>Pyrophoric liquid</t>
  </si>
  <si>
    <t>Pyr. Liq. 1</t>
  </si>
  <si>
    <t>Pyrophoric solid</t>
  </si>
  <si>
    <t>Pyr. Sol. 1</t>
  </si>
  <si>
    <t>Self-heating substance or mixture</t>
  </si>
  <si>
    <t>Self-heat. 1</t>
  </si>
  <si>
    <t>Self-heat. 2</t>
  </si>
  <si>
    <t>Substance or mixture which in contact with water emits flammable gas</t>
  </si>
  <si>
    <t>Water-react. 1</t>
  </si>
  <si>
    <t>Water-react. 2</t>
  </si>
  <si>
    <t>Water-react. 3</t>
  </si>
  <si>
    <t>Oxidising liquid</t>
  </si>
  <si>
    <t>Ox. Liq. 1</t>
  </si>
  <si>
    <t>Ox. Liq. 2</t>
  </si>
  <si>
    <t>Ox. Liq. 3</t>
  </si>
  <si>
    <t>Oxidising solid</t>
  </si>
  <si>
    <t>Ox. Sol. 1</t>
  </si>
  <si>
    <t>Ox. Sol. 2</t>
  </si>
  <si>
    <t>Ox. Sol. 3</t>
  </si>
  <si>
    <t>Organic peroxide</t>
  </si>
  <si>
    <t>Org. Perox. A</t>
  </si>
  <si>
    <t>Org. Perox. B</t>
  </si>
  <si>
    <t>Org. Perox. CD</t>
  </si>
  <si>
    <t>Org. Perox. EF</t>
  </si>
  <si>
    <t>Org. Perox. G</t>
  </si>
  <si>
    <t>Substance or mixture corrosive to metals</t>
  </si>
  <si>
    <t>Met. Corr. 1</t>
  </si>
  <si>
    <t>Health hazard</t>
  </si>
  <si>
    <t>Acute toxicity</t>
  </si>
  <si>
    <t>Skin corrosion/irritation</t>
  </si>
  <si>
    <t>Skin Corr. 1A</t>
  </si>
  <si>
    <t>Skin Corr. 1B</t>
  </si>
  <si>
    <t>Skin Corr. 1C</t>
  </si>
  <si>
    <t>Skin Irrit. 2</t>
  </si>
  <si>
    <t>Serious eye damage/eye irritation</t>
  </si>
  <si>
    <t>Eye Dam. 1</t>
  </si>
  <si>
    <t>Eye Irrit. 2</t>
  </si>
  <si>
    <t xml:space="preserve">Respiratory/skin sensitization </t>
  </si>
  <si>
    <t>Resp. Sens. 1</t>
  </si>
  <si>
    <t>Skin Sens. 1</t>
  </si>
  <si>
    <t xml:space="preserve">Germ cell mutagenicity </t>
  </si>
  <si>
    <t>Muta. 1A</t>
  </si>
  <si>
    <t>Muta. 1B</t>
  </si>
  <si>
    <t>Muta. 2</t>
  </si>
  <si>
    <t>Carcinogenicity</t>
  </si>
  <si>
    <t>Carc. 1A</t>
  </si>
  <si>
    <t>Carc. 1B</t>
  </si>
  <si>
    <t>Carc. 2</t>
  </si>
  <si>
    <t>Reproductive toxicity</t>
  </si>
  <si>
    <t>Repr. 1A</t>
  </si>
  <si>
    <t>Repr. 1B</t>
  </si>
  <si>
    <t>Repr. 2</t>
  </si>
  <si>
    <t>Lact.</t>
  </si>
  <si>
    <t xml:space="preserve">Specific target organ toxicity — single exposure </t>
  </si>
  <si>
    <t>STOT SE 1</t>
  </si>
  <si>
    <t>STOT SE 2</t>
  </si>
  <si>
    <t>STOT SE 3</t>
  </si>
  <si>
    <t xml:space="preserve">Specific target organ toxicity — repeated exposure </t>
  </si>
  <si>
    <t>STOT RE 1</t>
  </si>
  <si>
    <t>STOT RE 2</t>
  </si>
  <si>
    <t>Aspiration hazard</t>
  </si>
  <si>
    <t>Asp. Tox. 1</t>
  </si>
  <si>
    <t>Environment hazard</t>
  </si>
  <si>
    <t xml:space="preserve">Hazardous to the aquatic environment </t>
  </si>
  <si>
    <t>Aquatic Acute 1</t>
  </si>
  <si>
    <t>Aquatic Chronic 1</t>
  </si>
  <si>
    <t>Aquatic Chronic 2</t>
  </si>
  <si>
    <t>Aquatic Chronic 3</t>
  </si>
  <si>
    <t>Aquatic Chronic 4</t>
  </si>
  <si>
    <t xml:space="preserve">Hazardous for the ozone layer </t>
  </si>
  <si>
    <t>Ozone</t>
  </si>
  <si>
    <t>H200</t>
  </si>
  <si>
    <t>NOK</t>
  </si>
  <si>
    <t>H201</t>
  </si>
  <si>
    <t>H202</t>
  </si>
  <si>
    <t>H203</t>
  </si>
  <si>
    <t>Danger</t>
  </si>
  <si>
    <t>Hazard category</t>
  </si>
  <si>
    <t>Signal word</t>
  </si>
  <si>
    <t>Hazard Statement</t>
  </si>
  <si>
    <t>Mcbride policy</t>
  </si>
  <si>
    <t>Warning</t>
  </si>
  <si>
    <t>H204</t>
  </si>
  <si>
    <t>H205</t>
  </si>
  <si>
    <t>Pictogram</t>
  </si>
  <si>
    <t>H220</t>
  </si>
  <si>
    <t>H222</t>
  </si>
  <si>
    <t>Press. Gas (compressed)</t>
  </si>
  <si>
    <t>Press. Gas (liquefied)</t>
  </si>
  <si>
    <t>Press. Gas (dissolved)</t>
  </si>
  <si>
    <t>Press. Gas (refridgerated liquefied)</t>
  </si>
  <si>
    <t xml:space="preserve">Oral Acute Tox. 1 </t>
  </si>
  <si>
    <t>Oral Acute Tox. 2</t>
  </si>
  <si>
    <t>Dermal Acute Tox. 1</t>
  </si>
  <si>
    <t>Inhalation Acute Tox. 1</t>
  </si>
  <si>
    <t>Dermal Acute Tox. 2</t>
  </si>
  <si>
    <t>Inhalation Acute Tox. 2</t>
  </si>
  <si>
    <t>Oral Acute Tox. 3</t>
  </si>
  <si>
    <t>Dermal Acute Tox. 3</t>
  </si>
  <si>
    <t>Inhalation Acute Tox. 3</t>
  </si>
  <si>
    <t>Oral Acute Tox. 4</t>
  </si>
  <si>
    <t>Dermal Acute Tox. 4</t>
  </si>
  <si>
    <t>Inhalation Acute Tox. 4</t>
  </si>
  <si>
    <t>H330</t>
  </si>
  <si>
    <t>H331</t>
  </si>
  <si>
    <t>H332</t>
  </si>
  <si>
    <t>H317</t>
  </si>
  <si>
    <t>H351</t>
  </si>
  <si>
    <t>H360</t>
  </si>
  <si>
    <t>H361</t>
  </si>
  <si>
    <t>H362</t>
  </si>
  <si>
    <t>H335</t>
  </si>
  <si>
    <t>H336</t>
  </si>
  <si>
    <t>H420</t>
  </si>
  <si>
    <t>-</t>
  </si>
  <si>
    <t>GHS01</t>
  </si>
  <si>
    <t>GHS02</t>
  </si>
  <si>
    <t>GHS03</t>
  </si>
  <si>
    <t>GHS04</t>
  </si>
  <si>
    <t>GHS05</t>
  </si>
  <si>
    <t>GHS06</t>
  </si>
  <si>
    <t>GHS07</t>
  </si>
  <si>
    <t>GHS08</t>
  </si>
  <si>
    <t>GHS09</t>
  </si>
  <si>
    <t>Precautionary statements</t>
  </si>
  <si>
    <t>recommended</t>
  </si>
  <si>
    <t>optional</t>
  </si>
  <si>
    <t xml:space="preserve">Are liquid splashes likely to occur? </t>
  </si>
  <si>
    <t>P403+235</t>
  </si>
  <si>
    <t>P403+P411</t>
  </si>
  <si>
    <t>Are there incompatible materials likely to produce a particular risk?</t>
  </si>
  <si>
    <t>P404? -1</t>
  </si>
  <si>
    <t>P220? optional</t>
  </si>
  <si>
    <t>P231+232</t>
  </si>
  <si>
    <t>Does it react with moisture in air?</t>
  </si>
  <si>
    <t xml:space="preserve">P231? </t>
  </si>
  <si>
    <t>P306+P360</t>
  </si>
  <si>
    <t>P280?</t>
  </si>
  <si>
    <t>P310 P311 of P313?</t>
  </si>
  <si>
    <t xml:space="preserve">P260? </t>
  </si>
  <si>
    <t>P305+P351+P338</t>
  </si>
  <si>
    <t>P337+P313</t>
  </si>
  <si>
    <t>P260?</t>
  </si>
  <si>
    <t>P284?</t>
  </si>
  <si>
    <t>P304+P340?</t>
  </si>
  <si>
    <t>P403+P233</t>
  </si>
  <si>
    <t>P404</t>
  </si>
  <si>
    <t>P404?</t>
  </si>
  <si>
    <t>P310 P311 P312 of P313?</t>
  </si>
  <si>
    <t>P370</t>
  </si>
  <si>
    <t>P231</t>
  </si>
  <si>
    <t xml:space="preserve">In case of fire does water increases risk? </t>
  </si>
  <si>
    <t>Volatile so as to generate a potentially explosive atmosphere?</t>
  </si>
  <si>
    <t>Maximum storage temperature given by supplier?</t>
  </si>
  <si>
    <t xml:space="preserve">Maximum storage bulk mass and storage temperature given by suppliers </t>
  </si>
  <si>
    <t>Is specific treatment or antidote required?</t>
  </si>
  <si>
    <t>Volatile, gas or exposure via inhalation possible?</t>
  </si>
  <si>
    <t>Mcbride Classification</t>
  </si>
  <si>
    <t>Unstable explosives.</t>
  </si>
  <si>
    <t>Explosive; mass explosion hazard.</t>
  </si>
  <si>
    <t>Explosive, severe projection hazard.</t>
  </si>
  <si>
    <t>Explosive; fire, blast or projection hazard.</t>
  </si>
  <si>
    <t>Fire or projection hazard.</t>
  </si>
  <si>
    <t>May mass explode in fire.</t>
  </si>
  <si>
    <t>Extremely flammable gas.</t>
  </si>
  <si>
    <t>Flammable gas.</t>
  </si>
  <si>
    <t>Extremely flammable aerosol.</t>
  </si>
  <si>
    <t>Flammable aerosol.</t>
  </si>
  <si>
    <t>Extremely flammable liquid and vapour.</t>
  </si>
  <si>
    <t>Highly flammable liquid and vapour.</t>
  </si>
  <si>
    <t>Flammable liquid and vapour.</t>
  </si>
  <si>
    <t>Flammable solid.</t>
  </si>
  <si>
    <t>Heating may cause an explosion.</t>
  </si>
  <si>
    <t>Heating may cause a fire or explosion.</t>
  </si>
  <si>
    <t>Heating may cause a fire.</t>
  </si>
  <si>
    <t>Catches fire spontaneously if exposed to air.</t>
  </si>
  <si>
    <t>Self-heating: may catch fire.</t>
  </si>
  <si>
    <t>Self-heating in large quantities; may catch fire.</t>
  </si>
  <si>
    <t>In contact with water releases flammable gases which may ignite spontaneously.</t>
  </si>
  <si>
    <t>In contact with water releases flammable gases.</t>
  </si>
  <si>
    <t>May cause fire or explosion; strong oxidiser.</t>
  </si>
  <si>
    <t>May intensify fire; oxidiser.</t>
  </si>
  <si>
    <t>Contains gas under pressure; may explode if heated.</t>
  </si>
  <si>
    <t>Contains refrigerated gas; may cause cryogenic burns or injury.</t>
  </si>
  <si>
    <t>May be corrosive to metals.</t>
  </si>
  <si>
    <t>Fatal if swallowed.</t>
  </si>
  <si>
    <t>Toxic if swallowed.</t>
  </si>
  <si>
    <t>Harmful if swallowed.</t>
  </si>
  <si>
    <t>May be fatal if swallowed and enters airways.</t>
  </si>
  <si>
    <t>Fatal in contact with skin.</t>
  </si>
  <si>
    <t>Toxic in contact with skin.</t>
  </si>
  <si>
    <t>Harmful in contact with skin.</t>
  </si>
  <si>
    <t>Causes severe skin burns and eye damage.</t>
  </si>
  <si>
    <t>Causes skin irritation.</t>
  </si>
  <si>
    <t>May cause an allergic skin reaction.</t>
  </si>
  <si>
    <t>Causes serious eye damage.</t>
  </si>
  <si>
    <t>Causes serious eye irritation.</t>
  </si>
  <si>
    <t>Fatal if inhaled.</t>
  </si>
  <si>
    <t>Toxic if inhaled.</t>
  </si>
  <si>
    <t>Harmful if inhaled.</t>
  </si>
  <si>
    <t>May cause allergy or asthma symptoms or breathing difficulties if inhaled.</t>
  </si>
  <si>
    <t>May cause respiratory irritation.</t>
  </si>
  <si>
    <t>May cause drowsiness or dizziness.</t>
  </si>
  <si>
    <t>May cause harm to breast-fed children.</t>
  </si>
  <si>
    <t>Very toxic to aquatic life.</t>
  </si>
  <si>
    <t>Very toxic to aquatic life with long lasting effects.</t>
  </si>
  <si>
    <t>Toxic to aquatic life with long lasting effects.</t>
  </si>
  <si>
    <t>Harmful to aquatic life with long lasting effects.</t>
  </si>
  <si>
    <t>May cause long lasting harmful effects to aquatic life.</t>
  </si>
  <si>
    <t>Harms public health and the environment by destroying ozone in the upperatmosphere</t>
  </si>
  <si>
    <t>P101</t>
  </si>
  <si>
    <t>If medical advice is needed, have product container or label at hand.</t>
  </si>
  <si>
    <t>P102</t>
  </si>
  <si>
    <t>Keep out of reach of children.</t>
  </si>
  <si>
    <t>P103</t>
  </si>
  <si>
    <t>Read label before use.</t>
  </si>
  <si>
    <t>Obtain special instructions before use.</t>
  </si>
  <si>
    <t>Do not handle until all safety precautions have been read and understood.</t>
  </si>
  <si>
    <t>Keep away from heat/sparks/open flames/hot surfaces. – No smoking.</t>
  </si>
  <si>
    <t>Do not spray on an open flame or other ignition source.</t>
  </si>
  <si>
    <t>Keep/Store away from clothing/…/combustible materials.</t>
  </si>
  <si>
    <t>Take any precaution to avoid mixing with combustibles…</t>
  </si>
  <si>
    <t>Do not allow contact with air.</t>
  </si>
  <si>
    <t>Keep away from any possible contact with water, because of violent reaction and possible flash fire.</t>
  </si>
  <si>
    <t>P230</t>
  </si>
  <si>
    <t>Keep wetted with…</t>
  </si>
  <si>
    <t>Handle under inert gas.</t>
  </si>
  <si>
    <t>Handle under inert gas. Protect from moisture.</t>
  </si>
  <si>
    <t>P232</t>
  </si>
  <si>
    <t>Protect from moisture.</t>
  </si>
  <si>
    <t>Keep container tightly closed.</t>
  </si>
  <si>
    <t>Keep only in original container.</t>
  </si>
  <si>
    <t>P235</t>
  </si>
  <si>
    <t>Keep cool.</t>
  </si>
  <si>
    <t>Keep cool. Protect from sunlight.</t>
  </si>
  <si>
    <t>Ground/bond container and receiving equipment.</t>
  </si>
  <si>
    <t>Use explosion-proof electrical/ventilating/lighting/…/ equipment.</t>
  </si>
  <si>
    <t>Use only non-sparking tools.</t>
  </si>
  <si>
    <t>Take precautionary measures against static discharge.</t>
  </si>
  <si>
    <t>Keep reduction valves free from grease and oil.</t>
  </si>
  <si>
    <t>P250</t>
  </si>
  <si>
    <t>Do not subject to grinding/shock/…/friction.</t>
  </si>
  <si>
    <t>Pressurized container: Do not pierce or burn, even after use.</t>
  </si>
  <si>
    <t>Do not breathe dust/fume/gas/mist/vapours/spray.</t>
  </si>
  <si>
    <t>Avoid breathing dust/fume/gas/mist/vapours/spray.</t>
  </si>
  <si>
    <t>Do not get in eyes, on skin, or on clothing.</t>
  </si>
  <si>
    <t>Avoid contact during pregnancy/while nursing.</t>
  </si>
  <si>
    <t>Wash … thoroughly after handling.</t>
  </si>
  <si>
    <t>Do no eat, drink or smoke when using this product.</t>
  </si>
  <si>
    <t>Use only outdoors or in a well-ventilated area.</t>
  </si>
  <si>
    <t>Contaminated work clothing should not be allowed out of the workplace.</t>
  </si>
  <si>
    <t>Avoid release to the environment.</t>
  </si>
  <si>
    <t>Wear protective gloves/protective clothing/eye protection/face protection.</t>
  </si>
  <si>
    <t>Use personal protective equipment as required.</t>
  </si>
  <si>
    <t>Wear cold insulating gloves/face shield/eye protection.</t>
  </si>
  <si>
    <t>Wear fire/flame resistant/retardant clothing.</t>
  </si>
  <si>
    <t>Wear respiratory protection.</t>
  </si>
  <si>
    <t>In case of inadequate ventilation wear respiratory protection.</t>
  </si>
  <si>
    <t>P301</t>
  </si>
  <si>
    <t>IF SWALLOWED:</t>
  </si>
  <si>
    <t>IF SWALLOWED: Immediately call a POISON CENTER or doctor/physician.</t>
  </si>
  <si>
    <t>IF SWALLOWED: Call a POISON CENTER or doctor/physician if you feel unwell.</t>
  </si>
  <si>
    <t>IF SWALLOWED: rinse mouth. Do NOT induce vomiting.</t>
  </si>
  <si>
    <t>P302</t>
  </si>
  <si>
    <t>IF ON SKIN:</t>
  </si>
  <si>
    <t>IF ON SKIN: Immerse in cool water/wrap in wet bandages.</t>
  </si>
  <si>
    <t>IF ON SKIN: Gently wash with plenty of soap and water.</t>
  </si>
  <si>
    <t>IF ON SKIN: Wash with plenty of soap and water.</t>
  </si>
  <si>
    <t>P303</t>
  </si>
  <si>
    <t>IF ON SKIN (or hair):</t>
  </si>
  <si>
    <t>IF ON SKIN (or hair): Remove/Take off immediately all contaminated clothing. Rinse skin with water/shower.</t>
  </si>
  <si>
    <t>P304</t>
  </si>
  <si>
    <t>IF INHALED:</t>
  </si>
  <si>
    <t>IF INHALED: Remove victim to fresh air and keep at rest in a position comfortable for breathing.</t>
  </si>
  <si>
    <t>IF INHALED: If breathing is difficult, remove victim to fresh air and keep at rest in a position comfortable for breathing.</t>
  </si>
  <si>
    <t>P305</t>
  </si>
  <si>
    <t>IF IN EYES:</t>
  </si>
  <si>
    <t>IF IN EYES: Rinse cautiously with water for several minutes. Remove contact lenses, if present and easy to do. Continue rinsing.</t>
  </si>
  <si>
    <t>P306</t>
  </si>
  <si>
    <t>IF ON CLOTHING:</t>
  </si>
  <si>
    <t>IF ON CLOTHING: rinse immediately contaminated clothing and skin with plenty of water before removing clothes.</t>
  </si>
  <si>
    <t>P307</t>
  </si>
  <si>
    <t>IF exposed:</t>
  </si>
  <si>
    <t>IF exposed: Call a POISON CENTER or doctor/physician.</t>
  </si>
  <si>
    <t>P308</t>
  </si>
  <si>
    <t>IF exposed or concerned:</t>
  </si>
  <si>
    <t>IF exposed or concerned: Get medical advice/attention.</t>
  </si>
  <si>
    <t>P309</t>
  </si>
  <si>
    <t>IF exposed or if you feel unwell:</t>
  </si>
  <si>
    <t>IF exposed or if you feel unwell: Call a POISON CENTER or doctor/physician.</t>
  </si>
  <si>
    <t>Immediately call a POISON CENTER or doctor/physician.</t>
  </si>
  <si>
    <t>Call a POISON CENTER or doctor/physician.</t>
  </si>
  <si>
    <t>Call a POISON CENTER or doctor/physician if you feel unwell.</t>
  </si>
  <si>
    <t>P313</t>
  </si>
  <si>
    <t>Get medical advice/attention.</t>
  </si>
  <si>
    <t>Get medical advice/attention if you feel unwell.</t>
  </si>
  <si>
    <t>Get immediate medical advice/attention.</t>
  </si>
  <si>
    <t>Specific treatment is urgent (see … on this label).</t>
  </si>
  <si>
    <t>Specific treatment (see … on this label).</t>
  </si>
  <si>
    <t>Specific measures (see … on this label).</t>
  </si>
  <si>
    <t>Rinse mouth.</t>
  </si>
  <si>
    <t>Do NOT induce vomiting.</t>
  </si>
  <si>
    <t>P332</t>
  </si>
  <si>
    <t>If skin irritation occurs:</t>
  </si>
  <si>
    <t>P332 + P313</t>
  </si>
  <si>
    <t>If skin irritation occurs: Get medical advice/attention.</t>
  </si>
  <si>
    <t>P333</t>
  </si>
  <si>
    <t>If skin irritation or rash occurs:</t>
  </si>
  <si>
    <t>If skin irritation or rash occurs: Get medical advice/attention.</t>
  </si>
  <si>
    <t>P334</t>
  </si>
  <si>
    <t>Immerse in cool water/wrap in wet bandages.</t>
  </si>
  <si>
    <t>P335</t>
  </si>
  <si>
    <t>Brush off loose particles from skin.</t>
  </si>
  <si>
    <t>Brush off loose particles from skin. Immerse in cool water/wrap in wet bandages.</t>
  </si>
  <si>
    <t>Thaw frosted parts with lukewarm water. Do no rub affected area.</t>
  </si>
  <si>
    <t>P337</t>
  </si>
  <si>
    <t>If eye irritation persists:</t>
  </si>
  <si>
    <t>If eye irritation persists: Get medical advice/attention.</t>
  </si>
  <si>
    <t>P338</t>
  </si>
  <si>
    <t>Remove contact lenses, if present and easy to do. Continue rinsing.</t>
  </si>
  <si>
    <t>P340</t>
  </si>
  <si>
    <t>Remove victim to fresh air and keep at rest in a position comfortable for breathing.</t>
  </si>
  <si>
    <t>P341</t>
  </si>
  <si>
    <t>If breathing is difficult, remove victim to fresh air and keep at rest in a position comfortable for breathing.</t>
  </si>
  <si>
    <t>P342</t>
  </si>
  <si>
    <t>If experiencing respiratory symptoms:</t>
  </si>
  <si>
    <t>P342 + P311</t>
  </si>
  <si>
    <t>If experiencing respiratory symptoms: Call a POISON CENTER or doctor/physician.</t>
  </si>
  <si>
    <t>P350</t>
  </si>
  <si>
    <t>Gently wash with plenty of soap and water.</t>
  </si>
  <si>
    <t>P351</t>
  </si>
  <si>
    <t>Rinse cautiously with water for several minutes.</t>
  </si>
  <si>
    <t>P352</t>
  </si>
  <si>
    <t>Wash with plenty of soap and water.</t>
  </si>
  <si>
    <t>P353</t>
  </si>
  <si>
    <t>Rinse skin with water/shower.</t>
  </si>
  <si>
    <t>P360</t>
  </si>
  <si>
    <t>Rinse immediately contaminated clothing and skin with plenty of water before removing clothes.</t>
  </si>
  <si>
    <t>Remove/Take off immediately all contaminated clothing.</t>
  </si>
  <si>
    <t>Take off contaminated clothing and wash before reuse.</t>
  </si>
  <si>
    <t>Wash contaminated clothing before reuse.</t>
  </si>
  <si>
    <t>In case of fire:</t>
  </si>
  <si>
    <t>In case of fire: Stop leak if safe to do so.</t>
  </si>
  <si>
    <t>In case of fire: Use … for extinction.</t>
  </si>
  <si>
    <t>P370 + P380</t>
  </si>
  <si>
    <t>In case of fire: Evacuate area.</t>
  </si>
  <si>
    <t>In case of fire: Evacuate area. Fight fire remotely due to the risk of explosion.</t>
  </si>
  <si>
    <t>P371</t>
  </si>
  <si>
    <t>In case of major fire and large quantities:</t>
  </si>
  <si>
    <t>In case of major fire and large quantities: Evacuate area. Fight fire remotely due to the risk of explosion.</t>
  </si>
  <si>
    <t>P372</t>
  </si>
  <si>
    <t>Explosion risk in case of fire.</t>
  </si>
  <si>
    <t>P373</t>
  </si>
  <si>
    <t>DO NOT fight fire when fire reaches explosives.</t>
  </si>
  <si>
    <t>P374</t>
  </si>
  <si>
    <t>Fight fire with normal precautions from a reasonable distance.</t>
  </si>
  <si>
    <t>P375</t>
  </si>
  <si>
    <t>Fight fire remotely due to the risk of explosion.</t>
  </si>
  <si>
    <t>P376</t>
  </si>
  <si>
    <t>Stop leak if safe to do so.</t>
  </si>
  <si>
    <t>Leaking gas fire: Do not extinguish, unless leak can be stopped safely.</t>
  </si>
  <si>
    <t>P378</t>
  </si>
  <si>
    <t>Use … for extinction.</t>
  </si>
  <si>
    <t>P380</t>
  </si>
  <si>
    <t>Evacuate area.</t>
  </si>
  <si>
    <t>Eliminate all ignition sources if safe to do so.</t>
  </si>
  <si>
    <t>Absorb spillage to prevent material damage.</t>
  </si>
  <si>
    <t>Collect spillage.</t>
  </si>
  <si>
    <t>P401</t>
  </si>
  <si>
    <t>Store …</t>
  </si>
  <si>
    <t>P402</t>
  </si>
  <si>
    <t>Store in a dry place.</t>
  </si>
  <si>
    <t>Store in a dry place. Store in a closed container.</t>
  </si>
  <si>
    <t>Store in a well-ventilated place.</t>
  </si>
  <si>
    <t>Store in a well-ventilated place. Keep container tightly closed.</t>
  </si>
  <si>
    <t>Store in a well-ventilated place. Keep cool.</t>
  </si>
  <si>
    <t>Store in a closed container.</t>
  </si>
  <si>
    <t>Store locked up.</t>
  </si>
  <si>
    <t>Store in corrosive resistant/… container with a resistant inner liner.</t>
  </si>
  <si>
    <t>Maintain air gap between stacks/pallets.</t>
  </si>
  <si>
    <t>Protect from sunlight.</t>
  </si>
  <si>
    <t>Protect from sunlight. Store in a well-ventilated place.</t>
  </si>
  <si>
    <t>Protect from sunlight. Do no expose to temperatures exceeding 50°C/ 122°F.</t>
  </si>
  <si>
    <t>Store at temperatures not exceeding …°C/…°F.</t>
  </si>
  <si>
    <t>Store at temperatures not exceeding …°C/…°F. Keep cool.</t>
  </si>
  <si>
    <t>P412</t>
  </si>
  <si>
    <t>Do not expose to temperatures exceeding 50°C/ 122°F.</t>
  </si>
  <si>
    <t>Store bulk masses greater than … kg/… lbs at temperatures not exceeding …°C/…°F.</t>
  </si>
  <si>
    <t>Store away from other materials.</t>
  </si>
  <si>
    <t>Store contents under …</t>
  </si>
  <si>
    <t>Dispose of contents/container to …</t>
  </si>
  <si>
    <t>Precautionary Statement</t>
  </si>
  <si>
    <t>yes</t>
  </si>
  <si>
    <t>no</t>
  </si>
  <si>
    <t>May cause or intensify fire; oxidiser.</t>
  </si>
  <si>
    <t>P304 + 340</t>
  </si>
  <si>
    <t>Seveso classification</t>
  </si>
  <si>
    <t>child resistant fastenings</t>
  </si>
  <si>
    <t>tactile warnings</t>
  </si>
  <si>
    <t>x</t>
  </si>
  <si>
    <t>code</t>
  </si>
  <si>
    <t>resultaat code</t>
  </si>
  <si>
    <t>indien GHS01 dan vervalt GHS02 en GHS03 tenzij verplicht</t>
  </si>
  <si>
    <t>indien GHS06 voor acuut tox 1, 2 of 3 dan vervalt GHS07 voor acuut tox 4, irritatie en STOT</t>
  </si>
  <si>
    <t>indien GHS05 dan vervalt GHS07 voor huid- of oogirritatie</t>
  </si>
  <si>
    <t>indien GHS08 voor inhalatieallergeen dan vervalt GHS07 voor huidallergeen of huid- of oogirritatie</t>
  </si>
  <si>
    <t>indien GHS02 of GHS06 dan vervalt GHS04</t>
  </si>
  <si>
    <t>indien méér dan één pictogram voor dezelfde gevarenklasse, dan enkel ernstigste</t>
  </si>
  <si>
    <t>indien stof bijlage VI deel 3 ook ingedeeld volgens titel II, dan voor elke gevarenklasse ernstigste</t>
  </si>
  <si>
    <t>not</t>
  </si>
  <si>
    <t>GHS10</t>
  </si>
  <si>
    <t>kotje</t>
  </si>
  <si>
    <t>input</t>
  </si>
  <si>
    <t>verwijzing</t>
  </si>
  <si>
    <t>prentje</t>
  </si>
  <si>
    <t>output</t>
  </si>
  <si>
    <t>voorwaarden</t>
  </si>
  <si>
    <t>precaution</t>
  </si>
  <si>
    <t>conditional questions</t>
  </si>
  <si>
    <t>priorityrules</t>
  </si>
  <si>
    <t>PPE</t>
  </si>
  <si>
    <t>flammable</t>
  </si>
  <si>
    <t>non-flammable</t>
  </si>
  <si>
    <t>cat1</t>
  </si>
  <si>
    <t>cat2</t>
  </si>
  <si>
    <t>H2</t>
  </si>
  <si>
    <t>H3</t>
  </si>
  <si>
    <t>P1a</t>
  </si>
  <si>
    <t>P1b</t>
  </si>
  <si>
    <t>P2</t>
  </si>
  <si>
    <t>P4</t>
  </si>
  <si>
    <t>P5a</t>
  </si>
  <si>
    <t>P6a</t>
  </si>
  <si>
    <t>P6b</t>
  </si>
  <si>
    <t>P7</t>
  </si>
  <si>
    <t>P8</t>
  </si>
  <si>
    <t>E1</t>
  </si>
  <si>
    <t>E2</t>
  </si>
  <si>
    <t>O2</t>
  </si>
  <si>
    <t>EUH 001</t>
  </si>
  <si>
    <t>EUH 006</t>
  </si>
  <si>
    <t>EUH 014</t>
  </si>
  <si>
    <t>EUH 018</t>
  </si>
  <si>
    <t>EUH 019</t>
  </si>
  <si>
    <t>EUH 029</t>
  </si>
  <si>
    <t>EUH 031</t>
  </si>
  <si>
    <t>EUH 032</t>
  </si>
  <si>
    <t>EUH 044</t>
  </si>
  <si>
    <t>EUH 066</t>
  </si>
  <si>
    <t>EUH 070</t>
  </si>
  <si>
    <t>EUH 071</t>
  </si>
  <si>
    <t>EUH 201</t>
  </si>
  <si>
    <t>EUH 201A</t>
  </si>
  <si>
    <t>EUH 202</t>
  </si>
  <si>
    <t>EUH 203</t>
  </si>
  <si>
    <t>EUH 204</t>
  </si>
  <si>
    <t>EUH 205</t>
  </si>
  <si>
    <t>EUH 206</t>
  </si>
  <si>
    <t>EUH 207</t>
  </si>
  <si>
    <t>EUH 208</t>
  </si>
  <si>
    <t>EUH 209</t>
  </si>
  <si>
    <t>EUH 209A</t>
  </si>
  <si>
    <t>EUH 210</t>
  </si>
  <si>
    <t>EUH 401</t>
  </si>
  <si>
    <t>O1</t>
  </si>
  <si>
    <t>O3</t>
  </si>
  <si>
    <t>Explosive when dry.</t>
  </si>
  <si>
    <t>Explosive with or without contact with air.</t>
  </si>
  <si>
    <t>Reacts violently with water.</t>
  </si>
  <si>
    <t>In use may form flammable/explosive vapour-air mixture.</t>
  </si>
  <si>
    <t>May form explosive peroxides.</t>
  </si>
  <si>
    <t>Contact with water liberates toxic gas.</t>
  </si>
  <si>
    <t>Contact with acids liberates toxic gas.</t>
  </si>
  <si>
    <t>Contact with acids liberates very toxic gas.</t>
  </si>
  <si>
    <t>Risk of explosion if heated under confinement.</t>
  </si>
  <si>
    <t>Repeated exposure may cause skin dryness or cracking.</t>
  </si>
  <si>
    <t>Toxic by eye contact.</t>
  </si>
  <si>
    <t>Corrosive to the respiratory tract.</t>
  </si>
  <si>
    <t>Contains lead. Should not be used on surfaces liable to be chewed or sucked by children.</t>
  </si>
  <si>
    <t>Warning! Contains lead.</t>
  </si>
  <si>
    <t>Cyanoacrylate. Danger. Bonds skin and eyes in seconds. Keep out of the reach of children.</t>
  </si>
  <si>
    <t>Contains chromium (VI). May produce an allergic reaction.</t>
  </si>
  <si>
    <t>Warning! Do not use together with other products. May release dangerous gases (chlorine).</t>
  </si>
  <si>
    <t>Warning! Contains cadmium. Dangerous fumes are formed during use. See information supplied by the manufacturer. Comply with the safety instructions.</t>
  </si>
  <si>
    <t>Contains &lt;name of sensitising substance&gt;. May produce an allergic reaction.</t>
  </si>
  <si>
    <t>Can become highly flammable in use.</t>
  </si>
  <si>
    <t>Can become flammable in use.</t>
  </si>
  <si>
    <t>Safety data sheet available on request.</t>
  </si>
  <si>
    <t>To avoid risks to human health and the environment, comply with the instructions for use.</t>
  </si>
  <si>
    <t>Seveso?</t>
  </si>
  <si>
    <t>P5c</t>
  </si>
  <si>
    <t>Label</t>
  </si>
  <si>
    <t>prio</t>
  </si>
  <si>
    <t>result</t>
  </si>
  <si>
    <t>new result</t>
  </si>
  <si>
    <r>
      <t xml:space="preserve">May cause genetic defects </t>
    </r>
    <r>
      <rPr>
        <i/>
        <sz val="11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</si>
  <si>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Suspected of causing genetic defects </t>
    </r>
    <r>
      <rPr>
        <i/>
        <sz val="11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</si>
  <si>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May cause cancer </t>
    </r>
    <r>
      <rPr>
        <i/>
        <sz val="11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</si>
  <si>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Suspected of causing cancer </t>
    </r>
    <r>
      <rPr>
        <i/>
        <sz val="11"/>
        <rFont val="Calibri"/>
        <family val="2"/>
        <scheme val="minor"/>
      </rPr>
      <t>&lt;state route of exposure if it is conclusively proven that no other routs of exposure cause the hazard&gt;</t>
    </r>
    <r>
      <rPr>
        <sz val="11"/>
        <rFont val="Calibri"/>
        <family val="2"/>
        <scheme val="minor"/>
      </rPr>
      <t>.</t>
    </r>
  </si>
  <si>
    <r>
      <t xml:space="preserve">Causes damage to organs </t>
    </r>
    <r>
      <rPr>
        <i/>
        <sz val="11"/>
        <rFont val="Calibri"/>
        <family val="2"/>
        <scheme val="minor"/>
      </rPr>
      <t>&lt;or state all organs affected, if known&gt; 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</si>
  <si>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May cause damage to organs </t>
    </r>
    <r>
      <rPr>
        <i/>
        <sz val="11"/>
        <rFont val="Calibri"/>
        <family val="2"/>
        <scheme val="minor"/>
      </rPr>
      <t>&lt;or state all organs affected, if known&gt; 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</si>
  <si>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Causes damage to organs </t>
    </r>
    <r>
      <rPr>
        <i/>
        <sz val="11"/>
        <rFont val="Calibri"/>
        <family val="2"/>
        <scheme val="minor"/>
      </rPr>
      <t>&lt;or state all organs affected, if known&gt;</t>
    </r>
    <r>
      <rPr>
        <sz val="11"/>
        <rFont val="Calibri"/>
        <family val="2"/>
        <scheme val="minor"/>
      </rPr>
      <t xml:space="preserve"> through prolonged or repeated exposure </t>
    </r>
    <r>
      <rPr>
        <i/>
        <sz val="11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</si>
  <si>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 xml:space="preserve">May cause damage to organs </t>
    </r>
    <r>
      <rPr>
        <i/>
        <sz val="11"/>
        <rFont val="Calibri"/>
        <family val="2"/>
        <scheme val="minor"/>
      </rPr>
      <t>&lt;or state all organs affected, if known&gt;</t>
    </r>
    <r>
      <rPr>
        <sz val="11"/>
        <rFont val="Calibri"/>
        <family val="2"/>
        <scheme val="minor"/>
      </rPr>
      <t xml:space="preserve"> through prolonged or repeated exposure </t>
    </r>
    <r>
      <rPr>
        <i/>
        <sz val="11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rFont val="Calibri"/>
        <family val="2"/>
        <scheme val="minor"/>
      </rPr>
      <t>.</t>
    </r>
  </si>
  <si>
    <r>
      <t>Contains isocyanates. May produce an allergic reaction.</t>
    </r>
    <r>
      <rPr>
        <sz val="8"/>
        <rFont val="Arial"/>
        <family val="2"/>
      </rPr>
      <t xml:space="preserve"> </t>
    </r>
  </si>
  <si>
    <r>
      <t>Contains epoxy constituents. May produce an allergic reaction.</t>
    </r>
    <r>
      <rPr>
        <strike/>
        <sz val="8"/>
        <rFont val="Arial"/>
        <family val="2"/>
      </rPr>
      <t xml:space="preserve"> </t>
    </r>
  </si>
  <si>
    <t>Are liquid splashes likely to occur?</t>
  </si>
  <si>
    <t>In case of fire does water increase risk</t>
  </si>
  <si>
    <t>Is it volatile so as to generate a potentially explosive atmosphere</t>
  </si>
  <si>
    <t>Is it volatile, gas or is exposure via inhalation possible?</t>
  </si>
  <si>
    <t>?</t>
  </si>
  <si>
    <t>R11</t>
  </si>
  <si>
    <t>R10</t>
  </si>
  <si>
    <t>R7</t>
  </si>
  <si>
    <t>R15</t>
  </si>
  <si>
    <t>R9</t>
  </si>
  <si>
    <t>R25</t>
  </si>
  <si>
    <t>R34 of R35</t>
  </si>
  <si>
    <t>R38</t>
  </si>
  <si>
    <t>R43</t>
  </si>
  <si>
    <t>R20</t>
  </si>
  <si>
    <t>R42</t>
  </si>
  <si>
    <t>R64</t>
  </si>
  <si>
    <t>R68/20 21 22</t>
  </si>
  <si>
    <t>R37</t>
  </si>
  <si>
    <t>R67</t>
  </si>
  <si>
    <t>R33</t>
  </si>
  <si>
    <t xml:space="preserve">no R15 </t>
  </si>
  <si>
    <t>check 7/2/14 for WCE</t>
  </si>
  <si>
    <t>no R7</t>
  </si>
  <si>
    <t>no R15</t>
  </si>
  <si>
    <t>no R9</t>
  </si>
  <si>
    <t>no R25</t>
  </si>
  <si>
    <t>no R7: RMDEBAC parmethol H92 Passive in Ieper HH, Estaimpuis, Rosporden, Sallent</t>
  </si>
  <si>
    <t>tes</t>
  </si>
  <si>
    <t>no R64</t>
  </si>
  <si>
    <t>little R68</t>
  </si>
  <si>
    <t>column model</t>
  </si>
  <si>
    <t>H350i</t>
  </si>
  <si>
    <t>H360D</t>
  </si>
  <si>
    <t>H360Df</t>
  </si>
  <si>
    <t>H360F</t>
  </si>
  <si>
    <t>H360FD</t>
  </si>
  <si>
    <t xml:space="preserve"> May damage fertility. May damage the unborn child</t>
  </si>
  <si>
    <t>H361d</t>
  </si>
  <si>
    <t xml:space="preserve"> Suspected of damaging the unborn child.</t>
  </si>
  <si>
    <t>H361f</t>
  </si>
  <si>
    <t xml:space="preserve"> Suspected of damaging fertility.</t>
  </si>
  <si>
    <t>H361fd</t>
  </si>
  <si>
    <t>May cause cancer by inhalation</t>
  </si>
  <si>
    <t xml:space="preserve"> May damage fertility</t>
  </si>
  <si>
    <t xml:space="preserve"> May damage the unborn child</t>
  </si>
  <si>
    <t>H360Fd</t>
  </si>
  <si>
    <t xml:space="preserve"> May damage fertility. Suspected of damaging the unborn child</t>
  </si>
  <si>
    <t xml:space="preserve"> May damage the unborn child. Suspected of damaging fertility</t>
  </si>
  <si>
    <t xml:space="preserve"> Suspected of damaging fertility. Suspected of damaging the unborn child</t>
  </si>
  <si>
    <t xml:space="preserve"> May damage fertility or the unborn child (state specific effect if known)(state route of exposure if it is conclusively proven that no other routes of exposure cause the hazard)</t>
  </si>
  <si>
    <t xml:space="preserve"> Suspected of damaging fertility or the unborn child (state route of exposure if it is conclusively proven that no other routes of exposure cause the hazard)</t>
  </si>
  <si>
    <t>eyes</t>
  </si>
  <si>
    <t>skin</t>
  </si>
  <si>
    <t>respiration</t>
  </si>
  <si>
    <t>glasses</t>
  </si>
  <si>
    <t>face shield</t>
  </si>
  <si>
    <t>gloves</t>
  </si>
  <si>
    <t>CUST-AEROSOL</t>
  </si>
  <si>
    <t xml:space="preserve">	Aerosol	</t>
  </si>
  <si>
    <t>CUST-COMPRESSED-GAS</t>
  </si>
  <si>
    <t xml:space="preserve">	Compressed Gas	</t>
  </si>
  <si>
    <t>CUST-FLUID-LIQUID</t>
  </si>
  <si>
    <t xml:space="preserve">	Fluid Liquid	</t>
  </si>
  <si>
    <t>CUST-GEL</t>
  </si>
  <si>
    <t xml:space="preserve">	Gel	</t>
  </si>
  <si>
    <t>CUST-GRANULATE</t>
  </si>
  <si>
    <t xml:space="preserve">	Granulate	</t>
  </si>
  <si>
    <t>CUST-PASTE</t>
  </si>
  <si>
    <t>CUST-POWDER</t>
  </si>
  <si>
    <t xml:space="preserve">	Powder	</t>
  </si>
  <si>
    <t>CUST-SOLID</t>
  </si>
  <si>
    <t xml:space="preserve">	Solid	</t>
  </si>
  <si>
    <t>CUST-VAPOUR-GAS</t>
  </si>
  <si>
    <t>CUST-VOL</t>
  </si>
  <si>
    <t>M004</t>
  </si>
  <si>
    <t>M013</t>
  </si>
  <si>
    <t>clothing</t>
  </si>
  <si>
    <t>wash hands</t>
  </si>
  <si>
    <t>respiratory</t>
  </si>
  <si>
    <t>disposable mask</t>
  </si>
  <si>
    <t>reusable respirator</t>
  </si>
  <si>
    <t>general</t>
  </si>
  <si>
    <t>M009</t>
  </si>
  <si>
    <t>M010</t>
  </si>
  <si>
    <t>M016</t>
  </si>
  <si>
    <t>M017</t>
  </si>
  <si>
    <t>M011</t>
  </si>
  <si>
    <t>wash</t>
  </si>
  <si>
    <t>aspiration</t>
  </si>
  <si>
    <t>interdictions</t>
  </si>
  <si>
    <t>extinguish with water</t>
  </si>
  <si>
    <t>mix</t>
  </si>
  <si>
    <t>ignition sources</t>
  </si>
  <si>
    <t>earthing</t>
  </si>
  <si>
    <t>M005</t>
  </si>
  <si>
    <t>G057</t>
  </si>
  <si>
    <t>P003</t>
  </si>
  <si>
    <t>P011</t>
  </si>
  <si>
    <t>V087</t>
  </si>
  <si>
    <t>SevesoIII</t>
  </si>
  <si>
    <t>SevesoII</t>
  </si>
  <si>
    <t>Colum model</t>
  </si>
  <si>
    <t>Tactile warning</t>
  </si>
  <si>
    <t>column model?</t>
  </si>
  <si>
    <t>child resistant fastening</t>
  </si>
  <si>
    <t>tactile warning</t>
  </si>
  <si>
    <t>Child  fastening</t>
  </si>
  <si>
    <t>ignition</t>
  </si>
  <si>
    <t>extinguish</t>
  </si>
  <si>
    <t>interdiction</t>
  </si>
  <si>
    <t>ppe</t>
  </si>
  <si>
    <t>Middleton</t>
  </si>
  <si>
    <t>Bradford</t>
  </si>
  <si>
    <t>Hull</t>
  </si>
  <si>
    <t>Barrow</t>
  </si>
  <si>
    <t>Estaimpuis</t>
  </si>
  <si>
    <t>Moyaux</t>
  </si>
  <si>
    <t>Rosporden</t>
  </si>
  <si>
    <t>Etain</t>
  </si>
  <si>
    <t>Bagnatica</t>
  </si>
  <si>
    <t>Sallent</t>
  </si>
  <si>
    <t>Foetz</t>
  </si>
  <si>
    <t>Brno</t>
  </si>
  <si>
    <t>Strelze</t>
  </si>
  <si>
    <t>IN SAP EHS</t>
  </si>
  <si>
    <t>Site</t>
  </si>
  <si>
    <t>Physical state</t>
  </si>
  <si>
    <t xml:space="preserve">	Vapor/Gas</t>
  </si>
  <si>
    <t>Viscous/Oily liquid</t>
  </si>
  <si>
    <t>Paste/Cream</t>
  </si>
  <si>
    <t>Route of exposure</t>
  </si>
  <si>
    <t xml:space="preserve">Oral </t>
  </si>
  <si>
    <t>Dermal</t>
  </si>
  <si>
    <t>Inhalation</t>
  </si>
  <si>
    <t>M999</t>
  </si>
  <si>
    <t>verbod</t>
  </si>
  <si>
    <t>P999</t>
  </si>
  <si>
    <t>TBA</t>
  </si>
  <si>
    <t>check tegen columnmodel 18/2/14</t>
  </si>
  <si>
    <t>NOK maar niet 5 (te streng)</t>
  </si>
  <si>
    <t>5 maar niet NOK (niet streng genoeg)</t>
  </si>
  <si>
    <t xml:space="preserve">Outcome evaluation of condition of use in ES in SDS (if any) </t>
  </si>
  <si>
    <t>OK</t>
  </si>
  <si>
    <t>Not OK</t>
  </si>
  <si>
    <t>all RM</t>
  </si>
  <si>
    <t>Ieper HH</t>
  </si>
  <si>
    <t>Ieper PC</t>
  </si>
  <si>
    <t>Is it borax/tetrasodium borate powder?</t>
  </si>
  <si>
    <t>Is it used as areosol propellant gas?</t>
  </si>
  <si>
    <t>Is it a perfume?</t>
  </si>
  <si>
    <t>PLCG assesment received?</t>
  </si>
  <si>
    <t>Additional questions for approval</t>
  </si>
  <si>
    <t>Additional questions for Seveso III classification</t>
  </si>
  <si>
    <t xml:space="preserve">highly recommmended </t>
  </si>
  <si>
    <t>not all RM</t>
  </si>
  <si>
    <t>Additional questions for ppe &amp; P phrases</t>
  </si>
  <si>
    <t>dop</t>
  </si>
  <si>
    <t>tactile</t>
  </si>
  <si>
    <t>verpakking</t>
  </si>
  <si>
    <t>verp99</t>
  </si>
  <si>
    <t>Is it an enzyme?</t>
  </si>
  <si>
    <t>Is it a perfume or a debactericide?</t>
  </si>
  <si>
    <t>Is it a perfume or another RM that not enters site in bulk?</t>
  </si>
  <si>
    <t>Highly recommended</t>
  </si>
  <si>
    <t>Recommended</t>
  </si>
  <si>
    <t>Optional</t>
  </si>
  <si>
    <t>DERPO</t>
  </si>
  <si>
    <t>Is it Javel?</t>
  </si>
  <si>
    <t>health</t>
  </si>
  <si>
    <t>enviro</t>
  </si>
  <si>
    <t>fire&amp;explosion</t>
  </si>
  <si>
    <t>Hazard class</t>
  </si>
  <si>
    <t>Explosif à l'état sec.</t>
  </si>
  <si>
    <t>Danger d'explosion en contact ou sans contact avec l'air.</t>
  </si>
  <si>
    <t>Réagit violemment au contact de l'eau.</t>
  </si>
  <si>
    <t>Lors de l'utilisation, formation possible de mélange vapeur-air inflammable/explosif.</t>
  </si>
  <si>
    <t>Peut former des peroxydes explosifs.</t>
  </si>
  <si>
    <t>Au contact de l'eau, dégage des gaz toxiques.</t>
  </si>
  <si>
    <t>Au contact d'un acide, dégage un gaz toxique.</t>
  </si>
  <si>
    <t>Au contact d'un acide, dégage un gaz très toxique.</t>
  </si>
  <si>
    <t>Risque d'explosion si chauffé en ambiance confinée.</t>
  </si>
  <si>
    <t>L'exposition répétée peut provoquer dessèchement ou gerçures de la peau.</t>
  </si>
  <si>
    <t>Toxique par contact oculaire.</t>
  </si>
  <si>
    <t>Corrosif pour les voies respiratoires.</t>
  </si>
  <si>
    <t>Contient du plomb. Ne pas utiliser sur les objets susceptibles d’être mâchés ou sucés par des enfants.</t>
  </si>
  <si>
    <t>Attention! Contient du plomb.</t>
  </si>
  <si>
    <t>Cyanoacrylate. Danger. Colle à la peau et aux yeux en quelques secondes. À conserver hors de portée des enfants.</t>
  </si>
  <si>
    <t>Contient du chrome (VI). Peut déclencher une réaction allergique.</t>
  </si>
  <si>
    <t xml:space="preserve">Contient des composés époxydiques. Peut déclencher une réaction allergique. </t>
  </si>
  <si>
    <t>Attention! Ne pas utiliser en combinaison avec d’autres produits. Peut libérer des gaz dangereux (chlore).</t>
  </si>
  <si>
    <t>Attention! Contient du cadmium. Des fumées dangereuses se développent pendant l’utilisation. Voir les informations fournies par le fabricant. Respectez les consignes de sécurité.</t>
  </si>
  <si>
    <t>Contient &lt;nom de la substance sensibilisante&gt;. Peut déclencher une réaction allergique.</t>
  </si>
  <si>
    <t xml:space="preserve">Peut devenir facilement inflammable en cours d’utilisation. </t>
  </si>
  <si>
    <t>Peut devenir inflammable en cours d’utilisation.</t>
  </si>
  <si>
    <t>Fiche de données de sécurité disponible sur demande.</t>
  </si>
  <si>
    <t>Respectez les instructions d’utilisation pour éviter les risques pour la santé humaine et l’environnement.</t>
  </si>
  <si>
    <t>Explosif instable.</t>
  </si>
  <si>
    <t>Explosif ; danger d’explosion en masse.</t>
  </si>
  <si>
    <t>Explosif ; danger sérieux de projection.</t>
  </si>
  <si>
    <t>Explosif; danger d’incendie, d’effet de souffle ou de projection.</t>
  </si>
  <si>
    <t>Danger d’incendie ou de projection.</t>
  </si>
  <si>
    <t>Danger d’explosion en masse en cas d’incendie.</t>
  </si>
  <si>
    <t>Gaz extrêmement inflammable.</t>
  </si>
  <si>
    <t>Gaz inflammable.</t>
  </si>
  <si>
    <t>Aérosol extrêmement inflammable.</t>
  </si>
  <si>
    <t>Aérosol inflammable.</t>
  </si>
  <si>
    <t>Liquide et vapeurs extrêmement inflammables.</t>
  </si>
  <si>
    <t>Liquide et vapeurs très inflammables.</t>
  </si>
  <si>
    <t>Liquide et vapeurs inflammables.</t>
  </si>
  <si>
    <t>Matière solide inflammable.</t>
  </si>
  <si>
    <t>Risque d’explosion en cas d’échauffement.</t>
  </si>
  <si>
    <t>Risque d’incendie ou d’explosion en cas d’échauffement.</t>
  </si>
  <si>
    <t>Risque d’incendie en cas d’échauffement.</t>
  </si>
  <si>
    <t>S’enflamme spontanément au contact de l’air.</t>
  </si>
  <si>
    <t>Matière auto-échauffante: peut s’enflammer.</t>
  </si>
  <si>
    <t>Matière auto-échauffante en grandes quantités; peut s’enflammer.</t>
  </si>
  <si>
    <t>Dégage au contact de l’eau des gaz inflammables qui peuvent s’enflammer spontanément.</t>
  </si>
  <si>
    <t>Dégage au contact de l’eau des gaz inflammables.</t>
  </si>
  <si>
    <t>Peut provoquer ou aggraver un incendie ; comburant.</t>
  </si>
  <si>
    <t>Peut provoquer un incendie ou une explosion; comburant puissant.</t>
  </si>
  <si>
    <t>Peut aggraver un incendie; comburant.</t>
  </si>
  <si>
    <t>Contient un gaz sous pression; peut exploser sous l’effet de la chaleur.</t>
  </si>
  <si>
    <t>Contient un gaz réfrigéré; peut causer des brûlures ou blessures cryogéniques.</t>
  </si>
  <si>
    <t>Peut être corrosif pour les métaux.</t>
  </si>
  <si>
    <t>Mortel en cas d’ingestion.</t>
  </si>
  <si>
    <t>Toxique en cas d’ingestion.</t>
  </si>
  <si>
    <t>Nocif en cas d’ingestion.</t>
  </si>
  <si>
    <t>Peut être mortel en cas d’ingestion et de pénétration dans les voies respiratoires.</t>
  </si>
  <si>
    <t>Mortel par contact cutané.</t>
  </si>
  <si>
    <t>Toxique par contact cutané.</t>
  </si>
  <si>
    <t>Nocif par contact cutané.</t>
  </si>
  <si>
    <t>Provoque des brûlures de la peau et des lésions oculaires graves.</t>
  </si>
  <si>
    <t>Provoque une irritation cutanée.</t>
  </si>
  <si>
    <t>Peut provoquer une allergie cutanée.</t>
  </si>
  <si>
    <t>Provoque des lésions oculaires graves.</t>
  </si>
  <si>
    <t>Provoque une grave irritation oculaire.</t>
  </si>
  <si>
    <t>Mortel par inhalation.</t>
  </si>
  <si>
    <t>Toxique par inhalation.</t>
  </si>
  <si>
    <t>Nocif par inhalation.</t>
  </si>
  <si>
    <t>Peut provoquer des symptômes allergiques ou d’asthme ou des difficultés respiratoires par inhalation.</t>
  </si>
  <si>
    <t>Peut irriter les voies respiratoires.</t>
  </si>
  <si>
    <t>Peut provoquer somnolence et des vertiges.</t>
  </si>
  <si>
    <t>Peut provoquer le cancer par inhalation.</t>
  </si>
  <si>
    <t xml:space="preserve">Peut nuire au fœtus. </t>
  </si>
  <si>
    <t>Peut nuire au fœtus. Susceptible de nuire à la fertilité.</t>
  </si>
  <si>
    <t>Peut nuire à la fertilité.</t>
  </si>
  <si>
    <t xml:space="preserve">Peut nuire à la fertilité. Peut nuire au fœtus. </t>
  </si>
  <si>
    <t xml:space="preserve">Peut nuire à la fertilité. Susceptible de nuire au fœtus. </t>
  </si>
  <si>
    <t>Susceptible de nuire au fœtus.</t>
  </si>
  <si>
    <t xml:space="preserve">Susceptible de nuire à la fertilité. </t>
  </si>
  <si>
    <t xml:space="preserve">Susceptible de nuire à la fertilité. Susceptible de nuire au fœtus. </t>
  </si>
  <si>
    <t>Peut être nocif pour les bébés nourris au lait maternel.</t>
  </si>
  <si>
    <t>Très toxique pour les organismes aquatiques.</t>
  </si>
  <si>
    <t>Très toxique pour les organismes aquatiques, avec des effets à long terme.</t>
  </si>
  <si>
    <t>Toxique pour les organismes aquatiques, avec des effets à long terme.</t>
  </si>
  <si>
    <t>Nocif pour les organismes aquatiques, avec des effets à long terme.</t>
  </si>
  <si>
    <t>Peut être nocif à long terme pour les organismes aquatiques.</t>
  </si>
  <si>
    <t>Nuit à la santé publique et à l’environnement en détruisant l’ozone dans lahaute atmosphère</t>
  </si>
  <si>
    <r>
      <t xml:space="preserve">Peut induire des anomalies génétiques </t>
    </r>
    <r>
      <rPr>
        <i/>
        <sz val="11"/>
        <rFont val="Calibri"/>
        <family val="2"/>
        <scheme val="minor"/>
      </rPr>
      <t>&lt;indiquer la voie d’exposition s’il est formellement prouvé qu’aucune autre voie d’exposition ne conduit au même danger&gt;.</t>
    </r>
  </si>
  <si>
    <r>
      <t xml:space="preserve">Susceptible d’induire des anomalies génétiques </t>
    </r>
    <r>
      <rPr>
        <i/>
        <sz val="11"/>
        <rFont val="Calibri"/>
        <family val="2"/>
        <scheme val="minor"/>
      </rPr>
      <t>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</si>
  <si>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 xml:space="preserve">Peut provoquer le cancer </t>
    </r>
    <r>
      <rPr>
        <i/>
        <sz val="11"/>
        <rFont val="Calibri"/>
        <family val="2"/>
        <scheme val="minor"/>
      </rPr>
      <t>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</si>
  <si>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 xml:space="preserve">Susceptible de provoquer le cancer </t>
    </r>
    <r>
      <rPr>
        <i/>
        <sz val="11"/>
        <color theme="1"/>
        <rFont val="Calibri"/>
        <family val="2"/>
        <scheme val="minor"/>
      </rPr>
      <t>&lt;indiquer la voie d’exposition s’il est formellement prouvé qu’aucune autre voie d’exposition ne conduit au même danger&gt;</t>
    </r>
    <r>
      <rPr>
        <sz val="11"/>
        <color theme="1"/>
        <rFont val="Calibri"/>
        <family val="2"/>
        <scheme val="minor"/>
      </rPr>
      <t>.</t>
    </r>
  </si>
  <si>
    <r>
      <t xml:space="preserve">Peut nuire à la fertilité ou au fœtus </t>
    </r>
    <r>
      <rPr>
        <i/>
        <sz val="11"/>
        <rFont val="Calibri"/>
        <family val="2"/>
        <scheme val="minor"/>
      </rPr>
      <t>&lt;indiquer l’effet spécifique s’il est connu&gt; 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</si>
  <si>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 xml:space="preserve">Susceptible de nuire à la fertilité ou au fœtus </t>
    </r>
    <r>
      <rPr>
        <i/>
        <sz val="11"/>
        <color theme="1"/>
        <rFont val="Calibri"/>
        <family val="2"/>
        <scheme val="minor"/>
      </rPr>
      <t>&lt;indiquer l’effet spécifique s’il est connu&gt; &lt;indiquer la voie d’exposition s’il est formellement prouvé qu’aucune autre voie d’exposition ne conduit au même danger&gt;</t>
    </r>
    <r>
      <rPr>
        <sz val="11"/>
        <color theme="1"/>
        <rFont val="Calibri"/>
        <family val="2"/>
        <scheme val="minor"/>
      </rPr>
      <t>.</t>
    </r>
  </si>
  <si>
    <r>
      <t xml:space="preserve">Provoque des lésions aux organes </t>
    </r>
    <r>
      <rPr>
        <i/>
        <sz val="11"/>
        <rFont val="Calibri"/>
        <family val="2"/>
        <scheme val="minor"/>
      </rPr>
      <t>&lt;ou indiquer tous les organes affectés, s’ils sont connus&gt; 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</si>
  <si>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 xml:space="preserve">Peut provoquer des lésions aux organes </t>
    </r>
    <r>
      <rPr>
        <i/>
        <sz val="11"/>
        <rFont val="Calibri"/>
        <family val="2"/>
        <scheme val="minor"/>
      </rPr>
      <t>&lt;ou indiquer tous les organes affectés, s’ils sont connus&gt; &lt;indiquer la voie d’exposition s’il est formellement prouvé qu’aucune autre voie d’exposition ne conduit au même danger&gt;.</t>
    </r>
  </si>
  <si>
    <r>
      <t xml:space="preserve">Provoque des lésions aux organes </t>
    </r>
    <r>
      <rPr>
        <i/>
        <sz val="11"/>
        <rFont val="Calibri"/>
        <family val="2"/>
        <scheme val="minor"/>
      </rPr>
      <t xml:space="preserve">&lt;indiquer tous les organes affectés, s’ils sont connus&gt; </t>
    </r>
    <r>
      <rPr>
        <sz val="11"/>
        <rFont val="Calibri"/>
        <family val="2"/>
        <scheme val="minor"/>
      </rPr>
      <t xml:space="preserve">à la suite d’expositions répétées ou d’une exposition prolongée </t>
    </r>
    <r>
      <rPr>
        <i/>
        <sz val="11"/>
        <rFont val="Calibri"/>
        <family val="2"/>
        <scheme val="minor"/>
      </rPr>
      <t>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</si>
  <si>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 xml:space="preserve">Peut provoquer des lésions aux organes </t>
    </r>
    <r>
      <rPr>
        <i/>
        <sz val="11"/>
        <rFont val="Calibri"/>
        <family val="2"/>
        <scheme val="minor"/>
      </rPr>
      <t>&lt;ou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indiquer tous les organes affectés, s’ils sont connus&gt;</t>
    </r>
    <r>
      <rPr>
        <sz val="11"/>
        <rFont val="Calibri"/>
        <family val="2"/>
        <scheme val="minor"/>
      </rPr>
      <t xml:space="preserve"> à la suite d’expositions répétées ou d’une exposition prolongée </t>
    </r>
    <r>
      <rPr>
        <i/>
        <sz val="11"/>
        <rFont val="Calibri"/>
        <family val="2"/>
        <scheme val="minor"/>
      </rPr>
      <t>&lt;indiquer la voie d’exposition s’il est formellement prouvé qu’aucune autre voie d’exposition ne conduit au même danger&gt;</t>
    </r>
    <r>
      <rPr>
        <sz val="11"/>
        <rFont val="Calibri"/>
        <family val="2"/>
        <scheme val="minor"/>
      </rPr>
      <t>.</t>
    </r>
  </si>
  <si>
    <r>
      <t>Contient des isocyanates. Peut déclencher une réaction allergique.</t>
    </r>
    <r>
      <rPr>
        <sz val="11"/>
        <color indexed="12"/>
        <rFont val="Calibri"/>
        <family val="2"/>
        <scheme val="minor"/>
      </rPr>
      <t xml:space="preserve"> </t>
    </r>
  </si>
  <si>
    <t>In droge toestand ontplofbaar.</t>
  </si>
  <si>
    <t>Ontplofbaar met en zonder lucht.</t>
  </si>
  <si>
    <t>Reageert heftig met water.</t>
  </si>
  <si>
    <t>Kan bij gebruik een ontvlambaar/ontplofbaar damp-luchtmengsel vormen.</t>
  </si>
  <si>
    <t>Kan ontplofbare peroxiden vormen.</t>
  </si>
  <si>
    <t>Vormt giftig gas in contact met water.</t>
  </si>
  <si>
    <t>Vormt giftig gas in contact met zuren.</t>
  </si>
  <si>
    <t>Vormt zeer giftig gas in contact met zuren.</t>
  </si>
  <si>
    <t>Ontploffingsgevaar bij verwarming in afgesloten toestand.</t>
  </si>
  <si>
    <t>Herhaalde blootstelling kan een droge of een gebarsten huid veroorzaken.</t>
  </si>
  <si>
    <t>Giftig bij oogcontact.</t>
  </si>
  <si>
    <t>Bijtend voor de luchtwegen.</t>
  </si>
  <si>
    <t>Bevat lood. Mag niet worden gebruikt voor voorwerpen waarin kinderen kunnen bijten of waaraan kinderen kunnen zuigen.</t>
  </si>
  <si>
    <t>Let op! Bevat lood.</t>
  </si>
  <si>
    <t>Cyanoacrylaat. Gevaarlijk. Kleeft binnen enkele seconden aan huid en oogleden. Buiten het bereik van kinderen houden.</t>
  </si>
  <si>
    <t>Bevat zeswaardig chroom. Kan een allergische reactie veroorzaken.</t>
  </si>
  <si>
    <t>Bevat epoxyverbindingen. Kan een allergische reactie veroorzaken.</t>
  </si>
  <si>
    <t>Let op! Niet in combinatie met andere producten gebruiken. Er kunnen gevaarlijke gassen (chloor) vrijkomen.</t>
  </si>
  <si>
    <t>Let op! Bevat cadmium. Bij het gebruik ontwikkelen zich gevaarlijke dampen. Zie de aanwijzingen van de fabrikant. Neem de veiligheidsvoorschriften in acht.</t>
  </si>
  <si>
    <t>Bevat &lt;naam van de sensibiliserende stof&gt;. Kan een allergische reactie veroorzaken.</t>
  </si>
  <si>
    <t>Kan bij gebruik licht ontvlambaar worden.</t>
  </si>
  <si>
    <t>Kan bij gebruik ontvlambaar worden.</t>
  </si>
  <si>
    <t>Veiligheidsinformatieblad op verzoek verkrijgbaar.</t>
  </si>
  <si>
    <t>Volg de gebruiksaanwijzing om gevaar voor de menselijke gezondheid en het milieu te voorkomen.</t>
  </si>
  <si>
    <r>
      <t>Bevat isocyanaten. Kan een allergische reactie veroorzaken.</t>
    </r>
    <r>
      <rPr>
        <sz val="11"/>
        <color indexed="12"/>
        <rFont val="Calibri"/>
        <family val="2"/>
        <scheme val="minor"/>
      </rPr>
      <t xml:space="preserve"> </t>
    </r>
  </si>
  <si>
    <t>Instabiele ontplofbare stof.</t>
  </si>
  <si>
    <t>Ontplofbare stof; gevaar voor massa-explosie.</t>
  </si>
  <si>
    <t>Ontplofbare stof, ernstig gevaar voor scherfwerking.</t>
  </si>
  <si>
    <t>Ontplofbare stof; gevaar voor brand, luchtdrukwerking of scherfwerking.</t>
  </si>
  <si>
    <t>Gevaar voor brand of scherfwerking.</t>
  </si>
  <si>
    <t>Gevaar voor massa-explosie bij brand.</t>
  </si>
  <si>
    <t>Zeer licht ontvlambaar gas.</t>
  </si>
  <si>
    <t>Ontvlambaar gas.</t>
  </si>
  <si>
    <t>Zeer licht ontvlambare aerosol.</t>
  </si>
  <si>
    <t>Ontvlambare aerosol.</t>
  </si>
  <si>
    <t>Zeer licht ontvlambare vloeistof en damp.</t>
  </si>
  <si>
    <t>Licht ontvlambare vloeistof en damp.</t>
  </si>
  <si>
    <t>Ontvlambare vloeistof en damp.</t>
  </si>
  <si>
    <t>Ontvlambare vaste stof.</t>
  </si>
  <si>
    <t>Ontploffingsgevaar bij verwarming.</t>
  </si>
  <si>
    <t>Brand- of ontploffingsgevaar bij verwarming.</t>
  </si>
  <si>
    <t>Brandgevaar bij verwarming.</t>
  </si>
  <si>
    <t>Vat spontaan vlam bij blootstelling aan lucht.</t>
  </si>
  <si>
    <t>Vatbaar voor zelfverhitting: kan vlam vatten.</t>
  </si>
  <si>
    <t>In grote hoeveelheden vatbaar voor zelfverhitting; kan vlam vatten.</t>
  </si>
  <si>
    <t>In contact met water komen ontvlambare gassen vrij die spontaan kunnen ontbranden.</t>
  </si>
  <si>
    <t>In contact met water komen ontvlambare gassen vrij.</t>
  </si>
  <si>
    <t>Kan brand veroorzaken of bevorderen; oxiderend.</t>
  </si>
  <si>
    <t>Kan brand of ontploffingen veroorzaken; sterk oxiderend.</t>
  </si>
  <si>
    <t>Kan brand bevorderen; oxiderend.</t>
  </si>
  <si>
    <t>Bevat gas onder druk; kan ontploffen bij verwarming.</t>
  </si>
  <si>
    <t>Bevat sterk gekoeld gas; kan cryogene brandwonden of letsel veroorzaken.</t>
  </si>
  <si>
    <t>Kan bijtend zijn voor metalen.</t>
  </si>
  <si>
    <t>Dodelijk bij inslikken.</t>
  </si>
  <si>
    <t>Giftig bij inslikken.</t>
  </si>
  <si>
    <t>Schadelijk bij inslikken.</t>
  </si>
  <si>
    <t>Kan dodelijk zijn als de stof bij inslikken in de luchtwegen terechtkomt.</t>
  </si>
  <si>
    <t>Dodelijk bij contact met de huid.</t>
  </si>
  <si>
    <t>Giftig bij contact met de huid.</t>
  </si>
  <si>
    <t>Schadelijk bij contact met de huid.</t>
  </si>
  <si>
    <t>Veroorzaakt ernstige brandwonden en oogletsel.</t>
  </si>
  <si>
    <t>Veroorzaakt huidirritatie.</t>
  </si>
  <si>
    <t>Kan een allergische huidreactie veroorzaken.</t>
  </si>
  <si>
    <t>Veroorzaakt ernstig oogletsel.</t>
  </si>
  <si>
    <t>Veroorzaakt ernstige oogirritatie.</t>
  </si>
  <si>
    <t>Dodelijk bij inademing.</t>
  </si>
  <si>
    <t>Giftig bij inademing.</t>
  </si>
  <si>
    <t>Schadelijk bij inademing.</t>
  </si>
  <si>
    <t>Kan bij inademing allergie- of astmasymptomen of ademhalingsmoeilijkheden veroorzaken.</t>
  </si>
  <si>
    <t>Kan irritatie van de luchtwegen veroorzaken.</t>
  </si>
  <si>
    <t>Kan slaperigheid of duizeligheid veroorzaken.</t>
  </si>
  <si>
    <t xml:space="preserve">Kan kanker veroorzaken bij inademing. </t>
  </si>
  <si>
    <t xml:space="preserve">Kan het ongeboren kind schaden. </t>
  </si>
  <si>
    <t>Kan het ongeboren kind schaden. Wordt ervan verdacht de vruchtbaarheid te schaden.</t>
  </si>
  <si>
    <t xml:space="preserve">Kan de vruchtbaarheid schaden. </t>
  </si>
  <si>
    <t xml:space="preserve">Kan de vruchtbaarheid schaden. Kan het ongeboren kind schaden. </t>
  </si>
  <si>
    <t>Kan de vruchtbaarheid schaden. Wordt ervan verdacht het ongeboren kind te schaden.</t>
  </si>
  <si>
    <t xml:space="preserve">Wordt ervan verdacht het ongeboren kind te schaden. </t>
  </si>
  <si>
    <t xml:space="preserve">Wordt ervan verdacht de vruchtbaarheid te schaden. </t>
  </si>
  <si>
    <t xml:space="preserve">Wordt ervan verdacht de vruchtbaarheid te schaden. Wordt ervan verdacht het ongeboren kind te schaden. </t>
  </si>
  <si>
    <t>Kan schadelijk zijn via de borstvoeding.</t>
  </si>
  <si>
    <t>Zeer giftig voor in het water levende organismen.</t>
  </si>
  <si>
    <t>Zeer giftig voor in het water levende organismen, met langdurige gevolgen.</t>
  </si>
  <si>
    <t>Giftig voor in het water levende organismen, met langdurige gevolgen.</t>
  </si>
  <si>
    <t>Schadelijk voor in het water levende organismen, met langdurige gevolgen.</t>
  </si>
  <si>
    <t>Kan langdurige schadelijke gevolgen voor in het water levende organismen hebben.</t>
  </si>
  <si>
    <t>Schadelijk voor de volksgezondheid en het milieu door afbraak van ozon in debovenste lagen van de atmosfeer</t>
  </si>
  <si>
    <r>
      <t>Kan genetische schade veroorzaken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</si>
  <si>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Verdacht van het veroorzaken van genetische schade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</si>
  <si>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Kan kanker veroorzaken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</t>
    </r>
  </si>
  <si>
    <r>
      <t>Verdacht van het veroorzaken van kanker &lt;</t>
    </r>
    <r>
      <rPr>
        <i/>
        <sz val="11"/>
        <color theme="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color theme="1"/>
        <rFont val="Calibri"/>
        <family val="2"/>
        <scheme val="minor"/>
      </rPr>
      <t>&gt;.</t>
    </r>
  </si>
  <si>
    <r>
      <t>Kan de vruchtbaarheid of het ongeboren kind schaden &lt;</t>
    </r>
    <r>
      <rPr>
        <i/>
        <sz val="11"/>
        <rFont val="Calibri"/>
        <family val="2"/>
        <scheme val="minor"/>
      </rPr>
      <t>specifiek effect vermelden indien bekend</t>
    </r>
    <r>
      <rPr>
        <sz val="11"/>
        <rFont val="Calibri"/>
        <family val="2"/>
        <scheme val="minor"/>
      </rPr>
      <t>&gt;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</si>
  <si>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Kan mogelijks de vruchtbaarheid of het ongeboren kind schaden &lt;</t>
    </r>
    <r>
      <rPr>
        <i/>
        <sz val="11"/>
        <color theme="1"/>
        <rFont val="Calibri"/>
        <family val="2"/>
        <scheme val="minor"/>
      </rPr>
      <t>specifiek effect vermelden indien bekend</t>
    </r>
    <r>
      <rPr>
        <sz val="11"/>
        <color theme="1"/>
        <rFont val="Calibri"/>
        <family val="2"/>
        <scheme val="minor"/>
      </rPr>
      <t>&gt; &lt;</t>
    </r>
    <r>
      <rPr>
        <i/>
        <sz val="11"/>
        <color theme="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color theme="1"/>
        <rFont val="Calibri"/>
        <family val="2"/>
        <scheme val="minor"/>
      </rPr>
      <t>&gt;.</t>
    </r>
  </si>
  <si>
    <r>
      <t>Veroorzaakt schade aan organen &lt;</t>
    </r>
    <r>
      <rPr>
        <i/>
        <sz val="11"/>
        <rFont val="Calibri"/>
        <family val="2"/>
        <scheme val="minor"/>
      </rPr>
      <t>of alle betrokken organen vermelden indien bekend</t>
    </r>
    <r>
      <rPr>
        <sz val="11"/>
        <rFont val="Calibri"/>
        <family val="2"/>
        <scheme val="minor"/>
      </rPr>
      <t>&gt;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</si>
  <si>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Kan schade aan organen &lt;</t>
    </r>
    <r>
      <rPr>
        <i/>
        <sz val="11"/>
        <rFont val="Calibri"/>
        <family val="2"/>
        <scheme val="minor"/>
      </rPr>
      <t>of alle betrokken organen vermelden indien bekend</t>
    </r>
    <r>
      <rPr>
        <sz val="11"/>
        <rFont val="Calibri"/>
        <family val="2"/>
        <scheme val="minor"/>
      </rPr>
      <t>&gt; veroorzaken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</si>
  <si>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Veroorzaakt schade aan organen &lt;</t>
    </r>
    <r>
      <rPr>
        <i/>
        <sz val="11"/>
        <rFont val="Calibri"/>
        <family val="2"/>
        <scheme val="minor"/>
      </rPr>
      <t>of alle betrokken organen vermelden indien bekend</t>
    </r>
    <r>
      <rPr>
        <sz val="11"/>
        <rFont val="Calibri"/>
        <family val="2"/>
        <scheme val="minor"/>
      </rPr>
      <t>&gt; bij langdurige of herhaalde blootstelling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</si>
  <si>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r>
      <t>Kan schade aan organen &lt;</t>
    </r>
    <r>
      <rPr>
        <i/>
        <sz val="11"/>
        <rFont val="Calibri"/>
        <family val="2"/>
        <scheme val="minor"/>
      </rPr>
      <t>of alle betrokken organen vermelden indien bekend</t>
    </r>
    <r>
      <rPr>
        <sz val="11"/>
        <rFont val="Calibri"/>
        <family val="2"/>
        <scheme val="minor"/>
      </rPr>
      <t>&gt; veroorzaken bij langdurige of herhaalde blootstelling &lt;</t>
    </r>
    <r>
      <rPr>
        <i/>
        <sz val="11"/>
        <rFont val="Calibri"/>
        <family val="2"/>
        <scheme val="minor"/>
      </rPr>
      <t>blootstellingsroute vermelden indien afdoende bewezen is dat het gevaar bij andere blootstellingsroutes niet aanwezig is</t>
    </r>
    <r>
      <rPr>
        <sz val="11"/>
        <rFont val="Calibri"/>
        <family val="2"/>
        <scheme val="minor"/>
      </rPr>
      <t>&gt;.</t>
    </r>
  </si>
  <si>
    <t>Esplosivo allo stato secco.</t>
  </si>
  <si>
    <t>Esplosivo a contatto o senza contatto con l'aria.</t>
  </si>
  <si>
    <t>Reagisce violentemente con l'acqua.</t>
  </si>
  <si>
    <t>Durante l'uso può formarsi una miscela vapore-aria esplosiva/infiammabile.</t>
  </si>
  <si>
    <t>Può formare perossidi esplosivi.</t>
  </si>
  <si>
    <t>A contatto con l'acqua libera un gas tossico.</t>
  </si>
  <si>
    <t>A contatto con acidi libera un gas tossico.</t>
  </si>
  <si>
    <t>A contatto con acidi libera un gas molto tossico.</t>
  </si>
  <si>
    <t>Rischio di esplosione per riscaldamento in ambiente confinato.</t>
  </si>
  <si>
    <t>L'esposizione ripetuta può provocare secchezza o screpolature della pelle.</t>
  </si>
  <si>
    <t>Tossico per contatto oculare.</t>
  </si>
  <si>
    <t>Corrosivo per le vie respiratorie.</t>
  </si>
  <si>
    <t>Contiene piombo. Non utilizzare su oggetti che possono essere masticati o succhiati dai bambini.</t>
  </si>
  <si>
    <t>Attenzione! Contiene piombo.</t>
  </si>
  <si>
    <t>Cianoacrilato. Pericolo. Si incolla alla pelle e agli occhi in pochi secondi. Tenere fuori dalla portata dei bambini.</t>
  </si>
  <si>
    <t>Contiene cromo (VI). Può provocare una reazione allergica.</t>
  </si>
  <si>
    <t xml:space="preserve">Contiene componenti epossidici. Può provocare una reazione allergica. </t>
  </si>
  <si>
    <t>Attenzione! Non utilizzare in combinazione con altri prodotti. Possono formarsi gas pericolosi (cloro).</t>
  </si>
  <si>
    <t>Attenzione! Contiene cadmio. Durante l'uso si sviluppano fumi pericolosi. Leggere le informazioni fornite dal fabbricante. Rispettare le disposizioni di sicurezza.</t>
  </si>
  <si>
    <t>Contiene &lt;denominazione della sostanza sensibilizzante&gt;. Può provocare una reazione allergica.</t>
  </si>
  <si>
    <t xml:space="preserve">Può diventare facilmente infiammabile durante l'uso. </t>
  </si>
  <si>
    <t>Può diventare infiammabile durante l'uso.</t>
  </si>
  <si>
    <t>Scheda dati di sicurezza disponibile su richiesta.</t>
  </si>
  <si>
    <t>Per evitare rischi per la salute umana e per l'ambiente, seguire le istruzioni per l'uso.</t>
  </si>
  <si>
    <r>
      <t>Contiene isocianati. Può provocare una reazione allergica.</t>
    </r>
    <r>
      <rPr>
        <sz val="11"/>
        <color indexed="12"/>
        <rFont val="Calibri"/>
        <family val="2"/>
        <scheme val="minor"/>
      </rPr>
      <t xml:space="preserve"> </t>
    </r>
  </si>
  <si>
    <t>Esplosivo instabile.</t>
  </si>
  <si>
    <t>Esplosivo; pericolo di incendio, di spostamento d'aria o di proiezione.</t>
  </si>
  <si>
    <t>Pericolo di incendio o di proiezione.</t>
  </si>
  <si>
    <t>Pericolo di esplosione di massa in caso d'incendio.</t>
  </si>
  <si>
    <t>Gas altamente infiammabile.</t>
  </si>
  <si>
    <t>Gas infiammabile.</t>
  </si>
  <si>
    <t>Aerosol altamente infiammabile.</t>
  </si>
  <si>
    <t>Aerosol infiammabile.</t>
  </si>
  <si>
    <t>Liquido e vapori altamente infiammabili.</t>
  </si>
  <si>
    <t>Liquido e vapori facilmente infiammabili.</t>
  </si>
  <si>
    <t>Liquido e vapori infiammabili.</t>
  </si>
  <si>
    <t>Solido infiammabile.</t>
  </si>
  <si>
    <t>Rischio di esplosione per riscaldamento.</t>
  </si>
  <si>
    <t>Rischio d'incendio o di esplosione per riscaldamento.</t>
  </si>
  <si>
    <t>Rischio d’incendio per riscaldamento.</t>
  </si>
  <si>
    <t>Spontaneamente infiammabile all'aria.</t>
  </si>
  <si>
    <t>A contatto con l'acqua libera gas infiammabili che possono infiammarsi spontaneamente.</t>
  </si>
  <si>
    <t>A contatto con l'acqua libera gas infiammabili.</t>
  </si>
  <si>
    <t>Può provocare o aggravare un incendio; comburente.</t>
  </si>
  <si>
    <t>Può provocare un incendio o un'esplosione; molto comburente.</t>
  </si>
  <si>
    <t>Può aggravare un incendio; comburente.</t>
  </si>
  <si>
    <t>Contiene gas sotto pressione; può esplodere se riscaldato.</t>
  </si>
  <si>
    <t>Contiene gas refrigerato; può provocare ustioni o lesioni criogeniche.</t>
  </si>
  <si>
    <t>Può essere corrosivo per i metalli.</t>
  </si>
  <si>
    <t>Mortale se ingerito.</t>
  </si>
  <si>
    <t>Tossico se ingerito.</t>
  </si>
  <si>
    <t>Nocivo se ingerito.</t>
  </si>
  <si>
    <t>Può essere mortale in caso di ingestione e di penetrazione nelle vie respiratorie.</t>
  </si>
  <si>
    <t>Mortale a contatto con la pelle.</t>
  </si>
  <si>
    <t>Tossico a contatto con la pelle.</t>
  </si>
  <si>
    <t>Nocivo a contatto con la pelle.</t>
  </si>
  <si>
    <t>Provoca gravi ustioni cutanee e gravi lesioni oculari.</t>
  </si>
  <si>
    <t>Provoca irritazione cutanea.</t>
  </si>
  <si>
    <t>Può provocare una reazione allergica della pelle.</t>
  </si>
  <si>
    <t>Provoca gravi lesioni oculari.</t>
  </si>
  <si>
    <t>Provoca grave irritazione oculare.</t>
  </si>
  <si>
    <t>Mortale se inalato.</t>
  </si>
  <si>
    <t>Tossico se inalato.</t>
  </si>
  <si>
    <t>Nocivo se inalato.</t>
  </si>
  <si>
    <t>Può provocare sintomi allergici o asmatici o difficoltà respiratorie se inalato.</t>
  </si>
  <si>
    <t>Può irritare le vie respiratorie.</t>
  </si>
  <si>
    <t>Può provocare sonnolenza o vertigini.</t>
  </si>
  <si>
    <t xml:space="preserve">Può provocare il cancro se inalato. </t>
  </si>
  <si>
    <t xml:space="preserve">Può nuocere al feto. </t>
  </si>
  <si>
    <t xml:space="preserve">Può nuocere al feto. Sospettato di nuocere alla fertilità </t>
  </si>
  <si>
    <t>Può nuocere alla fertilità.</t>
  </si>
  <si>
    <t xml:space="preserve">Può nuocere alla fertilità. Può nuocere al feto. </t>
  </si>
  <si>
    <t>Può nuocere alla fertilità. Sospettato di nuocere al feto.</t>
  </si>
  <si>
    <t xml:space="preserve">Sospettato di nuocere al feto. </t>
  </si>
  <si>
    <t>Sospettato di nuocere alla fertilità</t>
  </si>
  <si>
    <t xml:space="preserve">Sospettato di nuocere alla fertilità Sospettato di nuocere al feto. </t>
  </si>
  <si>
    <t>Può essere nocivo per i lattanti allattati al seno.</t>
  </si>
  <si>
    <t>Molto tossico per gli organismi acquatici.</t>
  </si>
  <si>
    <t>Molto tossico per gli organismi acquatici con effetti di lunga durata.</t>
  </si>
  <si>
    <t>Tossico per gli organismi acquatici con effetti di lunga durata.</t>
  </si>
  <si>
    <t>Nocivo per gli organismi acquatici con effetti di lunga durata.</t>
  </si>
  <si>
    <t>Può essere nocivo per gli organismi acquatici con effetti di lunga durata.</t>
  </si>
  <si>
    <t>Nuoce alla salute pubblica e all’ambiente distruggendo l’ozono dello stratosuperiore dell’atmosfera</t>
  </si>
  <si>
    <r>
      <t xml:space="preserve">Esplosivo; </t>
    </r>
    <r>
      <rPr>
        <sz val="11"/>
        <color indexed="8"/>
        <rFont val="Calibri"/>
        <family val="2"/>
        <scheme val="minor"/>
      </rPr>
      <t>pericolo di esplosione di massa.</t>
    </r>
  </si>
  <si>
    <r>
      <t xml:space="preserve">Esplosivo; grave pericolo di </t>
    </r>
    <r>
      <rPr>
        <sz val="11"/>
        <color indexed="8"/>
        <rFont val="Calibri"/>
        <family val="2"/>
        <scheme val="minor"/>
      </rPr>
      <t>proiezione.</t>
    </r>
  </si>
  <si>
    <r>
      <t>Sostanza autoriscaldante; può</t>
    </r>
    <r>
      <rPr>
        <sz val="11"/>
        <rFont val="Calibri"/>
        <family val="2"/>
        <scheme val="minor"/>
      </rPr>
      <t xml:space="preserve"> infiammarsi.</t>
    </r>
  </si>
  <si>
    <r>
      <t>Sostanza autoriscaldante</t>
    </r>
    <r>
      <rPr>
        <sz val="11"/>
        <rFont val="Calibri"/>
        <family val="2"/>
        <scheme val="minor"/>
      </rPr>
      <t xml:space="preserve"> in grandi quantità; può infiammarsi.</t>
    </r>
  </si>
  <si>
    <r>
      <t xml:space="preserve">Può provocare alterazioni genetiche </t>
    </r>
    <r>
      <rPr>
        <i/>
        <sz val="11"/>
        <rFont val="Calibri"/>
        <family val="2"/>
        <scheme val="minor"/>
      </rPr>
      <t>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</si>
  <si>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Sospettato di provocare alterazioni genetiche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</si>
  <si>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Può provocare il cancro</t>
    </r>
    <r>
      <rPr>
        <i/>
        <sz val="11"/>
        <rFont val="Calibri"/>
        <family val="2"/>
        <scheme val="minor"/>
      </rPr>
      <t>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</si>
  <si>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Sospettato di provocare il cancro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</si>
  <si>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Può nuocere alla fertilità o al feto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&lt;indicare l'effetto specifico, se noto&gt;&lt;indicare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</si>
  <si>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Sospettato di nuocere alla fertilità o al feto</t>
    </r>
    <r>
      <rPr>
        <sz val="11"/>
        <color indexed="1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&lt;indicare l'effetto specifico, se noto&gt; 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</si>
  <si>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Provoca danni agli organi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&lt;o indicare tutti gli organi interessati, se noti&gt; 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</si>
  <si>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Può provocare danni agli organi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&lt;o indicare tutti gli organi interessati, se noti&gt; 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</si>
  <si>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>Provoca danni agli organi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&lt;o indicare tutti gli organi interessati, se noti&gt;</t>
    </r>
    <r>
      <rPr>
        <sz val="11"/>
        <rFont val="Calibri"/>
        <family val="2"/>
        <scheme val="minor"/>
      </rPr>
      <t xml:space="preserve"> in caso di esposizione prolungata o ripetuta</t>
    </r>
    <r>
      <rPr>
        <i/>
        <sz val="11"/>
        <rFont val="Calibri"/>
        <family val="2"/>
        <scheme val="minor"/>
      </rPr>
      <t xml:space="preserve"> 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</si>
  <si>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r>
      <t xml:space="preserve">Può provocare danni agli organi </t>
    </r>
    <r>
      <rPr>
        <i/>
        <sz val="11"/>
        <rFont val="Calibri"/>
        <family val="2"/>
        <scheme val="minor"/>
      </rPr>
      <t xml:space="preserve">&lt;o indicare tutti gli organi interessati, se noti&gt; </t>
    </r>
    <r>
      <rPr>
        <sz val="11"/>
        <rFont val="Calibri"/>
        <family val="2"/>
        <scheme val="minor"/>
      </rPr>
      <t xml:space="preserve">in caso di esposizione prolungata o ripetuta </t>
    </r>
    <r>
      <rPr>
        <i/>
        <sz val="11"/>
        <rFont val="Calibri"/>
        <family val="2"/>
        <scheme val="minor"/>
      </rPr>
      <t>&lt;indicare la via di esposizione se è accertato che nessun'altra via di esposizione comporta il medesimo pericolo&gt;</t>
    </r>
    <r>
      <rPr>
        <sz val="11"/>
        <rFont val="Calibri"/>
        <family val="2"/>
        <scheme val="minor"/>
      </rPr>
      <t>.</t>
    </r>
  </si>
  <si>
    <t>Produkt wybuchowy w stanie suchym.</t>
  </si>
  <si>
    <t>Produkt wybuchowy z dostępem lub bez dostępu powietrza.</t>
  </si>
  <si>
    <t>Reaguje gwałtownie z wodą.</t>
  </si>
  <si>
    <t>Podczas stosowania mogą powstawać łatwopalne lub wybuchowe mieszaniny par z powietrzem.</t>
  </si>
  <si>
    <t>Może tworzyć wybuchowe nadtlenki.</t>
  </si>
  <si>
    <t>W kontakcie z wodą uwalnia toksyczne gazy.</t>
  </si>
  <si>
    <t>W kontakcie z kwasami uwalnia toksyczne gazy.</t>
  </si>
  <si>
    <t>W kontakcie z kwasami uwalnia bardzo toksyczne gazy.</t>
  </si>
  <si>
    <t>Zagrożenie wybuchem po ogrzaniu w zamkniętym pomieszczeniu.</t>
  </si>
  <si>
    <t>Powtarzające się narażenie może powodować wysuszanie lub pękanie skóry.</t>
  </si>
  <si>
    <t>Działa toksycznie w kontakcie z oczami.</t>
  </si>
  <si>
    <t>Działa żrąco na drogi oddechowe.</t>
  </si>
  <si>
    <t>Zawiera ołów. Nie należy stosować na powierzchniach, które mogą być gryzione lub ssane przez dzieci.</t>
  </si>
  <si>
    <t>Uwaga! Zawiera ołów.</t>
  </si>
  <si>
    <t>Cyjanoakrylan. Niebezpieczeństwo. Spaja skórę i oczy w przeciągu sekund. Chronić przed dziećmi.</t>
  </si>
  <si>
    <t>Zawiera chrom (VI). Może wywoływać reakcję alergiczną.</t>
  </si>
  <si>
    <t xml:space="preserve">Zawiera składniki epoksydowe. Może wywoływać reakcję alergiczną. </t>
  </si>
  <si>
    <t>Uwaga! Nie używać razem z innymi produktami. Może wydzielać niebezpieczne gazy (chlor).</t>
  </si>
  <si>
    <t>Uwaga! Zawiera kadm. Przy użyciu wydziela niebezpieczne pary. Patrz informacje dostarczone przez producenta. Postępuj zgodnie z instrukcjami bezpiecznego użytkowania.</t>
  </si>
  <si>
    <t>Zawiera &lt;nazwa substancji uczulającej&gt;. Może wywoływać reakcję alergiczną.</t>
  </si>
  <si>
    <t>Przy użyciu może stać się wysoce łatwopalny.</t>
  </si>
  <si>
    <t>Przy użyciu może stać się łatwopalny.</t>
  </si>
  <si>
    <t>Karta charakterystyki udostępniana na życzenie.</t>
  </si>
  <si>
    <t>W celu uniknięcia zagrożeń dla zdrowia ludzi i środowiska, należy stosować się do instrukcji użycia.</t>
  </si>
  <si>
    <r>
      <t>Zawiera izocyjaniany. Może wywoływać reakcję alergiczną.</t>
    </r>
    <r>
      <rPr>
        <sz val="11"/>
        <color indexed="12"/>
        <rFont val="Calibri"/>
        <family val="2"/>
        <scheme val="minor"/>
      </rPr>
      <t xml:space="preserve"> </t>
    </r>
  </si>
  <si>
    <t>Materiały wybuchowe niestabilne.</t>
  </si>
  <si>
    <t>Materiał wybuchowy; zagrożenie wybuchem masowym.</t>
  </si>
  <si>
    <t>Materiał wybuchowy, poważne zagrożenie rozrzutem.</t>
  </si>
  <si>
    <t>Materiał wybuchowy; zagrożenie pożarem, wybuchem lub rozrzutem.</t>
  </si>
  <si>
    <t>Zagrożenie pożarem lub rozrzutem.</t>
  </si>
  <si>
    <t>Może wybuchać masowo w przypadku pożaru.</t>
  </si>
  <si>
    <t>Skrajnie łatwopalny gaz.</t>
  </si>
  <si>
    <t>Gaz łatwopalny.</t>
  </si>
  <si>
    <t>Skrajnie łatwopalny aerozol.</t>
  </si>
  <si>
    <t>Aerozol łatwopalny.</t>
  </si>
  <si>
    <t>Skrajnie łatwopalna ciecz i pary.</t>
  </si>
  <si>
    <t>Wysoce łatwopalna ciecz i pary.</t>
  </si>
  <si>
    <t>Łatwopalna ciecz i pary.</t>
  </si>
  <si>
    <t>Substancja stała łatwopalna.</t>
  </si>
  <si>
    <t>Ogrzewanie może spowodować wybuch.</t>
  </si>
  <si>
    <t>Ogrzewanie może spowodować pożar lub wybuch.</t>
  </si>
  <si>
    <t>Ogrzewanie może spowodować pożar.</t>
  </si>
  <si>
    <t>Zapala się samorzutnie w przypadku wystawienia na działanie powietrza.</t>
  </si>
  <si>
    <t>Substancja samonagrzewająca się: może się zapalić.</t>
  </si>
  <si>
    <t>Substancja samonagrzewająca się w dużych ilościach; może się zapalić.</t>
  </si>
  <si>
    <t>W kontakcie z wodą wydziela gazy łatwopalne, które mogą ulegać samozapaleniu.</t>
  </si>
  <si>
    <t>W kontakcie z wodą wydziela gazy łatowopalne.</t>
  </si>
  <si>
    <t>Może spowodować lub intensyfikować pożar; utleniacz.</t>
  </si>
  <si>
    <t>Może spowodować pożar lub wybuch; silny utleniacz.</t>
  </si>
  <si>
    <t>Może intensyfikować pożar; utleniacz.</t>
  </si>
  <si>
    <t>Zawiera gaz pod ciśnieniem; może wybuchnąć wskutek ogrzania.</t>
  </si>
  <si>
    <t>Zawiera schłodzony gaz; może spowodować oparzenia kriogeniczne lub obrażenia.</t>
  </si>
  <si>
    <t>Może działać korodująco na metale.</t>
  </si>
  <si>
    <t>Połknięcie grozi śmiercią.</t>
  </si>
  <si>
    <t>Działa toksycznie po połknięciu.</t>
  </si>
  <si>
    <t>Działa szkodliwie po połknięciu.</t>
  </si>
  <si>
    <t>Połknięcie i dostanie się przez drogi oddechowe może grozić śmiercią.</t>
  </si>
  <si>
    <t>Kontakt ze skórą grozi śmiercią.</t>
  </si>
  <si>
    <t>Działa toksycznie w kontakcie ze skórą.</t>
  </si>
  <si>
    <t>Działa szkodliwie w kontakcie ze skórą.</t>
  </si>
  <si>
    <t>Powoduje poważne oparzenia skóry oraz uszkodzenia oczu.</t>
  </si>
  <si>
    <t>Powoduje podrażnienie skóry.</t>
  </si>
  <si>
    <t>Może powodować reakcję alergiczną skóry.</t>
  </si>
  <si>
    <t>Powoduje poważne uszkodzenie oczu.</t>
  </si>
  <si>
    <t>Powoduje poważne podrażnienie oczu.</t>
  </si>
  <si>
    <t>Wdychanie grozi śmiercią.</t>
  </si>
  <si>
    <t>Działa toksycznie przy wdychaniu.</t>
  </si>
  <si>
    <t>Działa szkodliwie przy wdychaniu.</t>
  </si>
  <si>
    <t>Może wywoływać objawy alergii lub astmy lub trudności w oddychaniu w następstwie wdychania.</t>
  </si>
  <si>
    <t>Może powodować podrażnienie dróg oddechowych.</t>
  </si>
  <si>
    <t>Może wywoływać uczucie senności lub zawroty głowy.</t>
  </si>
  <si>
    <t xml:space="preserve">Wdychanie może spowodować raka. </t>
  </si>
  <si>
    <t xml:space="preserve">Może działać szkodliwie na dziecko w łonie matki. </t>
  </si>
  <si>
    <t xml:space="preserve">Może działać szkodliwie na dziecko w łonie matki. Podejrzewa się, że działa szkodliwie na płodność. </t>
  </si>
  <si>
    <t xml:space="preserve">Może działać szkodliwie na płodność. </t>
  </si>
  <si>
    <t xml:space="preserve">Może działać szkodliwie na płodność. Może działać szkodliwie na dziecko w łonie matki. </t>
  </si>
  <si>
    <t xml:space="preserve">Może działać szkodliwie na płodność. Podejrzewa się, że działa szkodliwie na dziecko w łonie matki. </t>
  </si>
  <si>
    <t>Podejrzewa się, że działa szkodliwie na dziecko w łonie matki.</t>
  </si>
  <si>
    <t xml:space="preserve">Podejrzewa się, że działa szkodliwie na płodność. </t>
  </si>
  <si>
    <t xml:space="preserve">Podejrzewa się, że działa szkodliwie na płodność. Podejrzewa się, że działa szkodliwie na dziecko w łonie matki. </t>
  </si>
  <si>
    <t>Może działać szkodliwie na dzieci karmione piersią.</t>
  </si>
  <si>
    <t>Działa bardzo toksycznie na organizmy wodne.</t>
  </si>
  <si>
    <t>Działa bardzo toksycznie na organizmy wodne, powodując długotrwałe skutki.</t>
  </si>
  <si>
    <t>Działa toksycznie na organizmy wodne, powodując długotrwałe skutki.</t>
  </si>
  <si>
    <t>Działa szkodliwie na organizmy wodne, powodując długotrwałe skutki.</t>
  </si>
  <si>
    <t>Może powodować długotrwałe szkodliwe skutki dla organizmów wodnych.</t>
  </si>
  <si>
    <t>Szkodliwe dla zdrowia publicznego i środowiska w związku z niszczącymoddziaływaniem na ozon w górnej warstwie atmosfery</t>
  </si>
  <si>
    <r>
      <t xml:space="preserve">Może powodować wady genetyczne </t>
    </r>
    <r>
      <rPr>
        <i/>
        <sz val="11"/>
        <rFont val="Calibri"/>
        <family val="2"/>
        <scheme val="minor"/>
      </rPr>
      <t>&lt;podać drogę narażenia, jeżeli definitywnie udowodniono, że inna droga narażenia nie powoduje zagrożenia&gt;</t>
    </r>
    <r>
      <rPr>
        <sz val="11"/>
        <rFont val="Calibri"/>
        <family val="2"/>
        <scheme val="minor"/>
      </rPr>
      <t>.</t>
    </r>
  </si>
  <si>
    <r>
      <t xml:space="preserve">Podejrzewa się, że powoduje wady genetyczne </t>
    </r>
    <r>
      <rPr>
        <i/>
        <sz val="11"/>
        <rFont val="Calibri"/>
        <family val="2"/>
        <scheme val="minor"/>
      </rPr>
      <t>&lt;podać drogę narażenia, jeżeli definitywnie udowodniono, że inna droga narażenia nie powoduje zagrożenia&gt;</t>
    </r>
    <r>
      <rPr>
        <sz val="11"/>
        <rFont val="Calibri"/>
        <family val="2"/>
        <scheme val="minor"/>
      </rPr>
      <t>.</t>
    </r>
  </si>
  <si>
    <r>
      <t xml:space="preserve">Może powodować raka </t>
    </r>
    <r>
      <rPr>
        <i/>
        <sz val="11"/>
        <rFont val="Calibri"/>
        <family val="2"/>
        <scheme val="minor"/>
      </rPr>
      <t>&lt;podać drogę narażenia, jeżeli definitywnie udowodniono, że inna droga narażenia nie powoduje zagrożenia&gt;</t>
    </r>
    <r>
      <rPr>
        <sz val="11"/>
        <rFont val="Calibri"/>
        <family val="2"/>
        <scheme val="minor"/>
      </rPr>
      <t>.</t>
    </r>
  </si>
  <si>
    <r>
      <t xml:space="preserve">Podejrzewa się, że powoduje raka </t>
    </r>
    <r>
      <rPr>
        <i/>
        <sz val="11"/>
        <color theme="1"/>
        <rFont val="Calibri"/>
        <family val="2"/>
        <scheme val="minor"/>
      </rPr>
      <t>&lt;podać drogę narażenia, jeżeli definitywnie udowodniono, że inna droga narażenia nie powoduje zagrożenia&gt;</t>
    </r>
    <r>
      <rPr>
        <sz val="11"/>
        <color theme="1"/>
        <rFont val="Calibri"/>
        <family val="2"/>
        <scheme val="minor"/>
      </rPr>
      <t>.</t>
    </r>
  </si>
  <si>
    <r>
      <t xml:space="preserve">Może działać szkodliwie na płodność lub na dziecko w łonie matki </t>
    </r>
    <r>
      <rPr>
        <i/>
        <sz val="11"/>
        <rFont val="Calibri"/>
        <family val="2"/>
        <scheme val="minor"/>
      </rPr>
      <t>&lt;podać szczególny skutek, jeżeli jest znany&gt; &lt;podać drogę narażenia, jeżeli definitywnie udowodniono, że inne drogi narażenia nie stwarzają zagrożenia&gt;</t>
    </r>
    <r>
      <rPr>
        <sz val="11"/>
        <rFont val="Calibri"/>
        <family val="2"/>
        <scheme val="minor"/>
      </rPr>
      <t>.</t>
    </r>
  </si>
  <si>
    <r>
      <t xml:space="preserve">Podejrzewa się, że działa szkodliwie na płodność lub na dziecko w łonie matki </t>
    </r>
    <r>
      <rPr>
        <i/>
        <sz val="11"/>
        <color theme="1"/>
        <rFont val="Calibri"/>
        <family val="2"/>
        <scheme val="minor"/>
      </rPr>
      <t>&lt;podać szczególny skutek, jeżeli jest znany&gt; &lt;podać drogę narażenia, jeżeli definitywnie udowodniono, że inne drogi narażenia nie stwarzają zagrożenia&gt;</t>
    </r>
    <r>
      <rPr>
        <sz val="11"/>
        <color theme="1"/>
        <rFont val="Calibri"/>
        <family val="2"/>
        <scheme val="minor"/>
      </rPr>
      <t>.</t>
    </r>
  </si>
  <si>
    <r>
      <t xml:space="preserve">Powoduje uszkodzenie narządów </t>
    </r>
    <r>
      <rPr>
        <i/>
        <sz val="11"/>
        <rFont val="Calibri"/>
        <family val="2"/>
        <scheme val="minor"/>
      </rPr>
      <t>&lt;podać szczególny skutek, jeśli jest znany&gt; &lt;podać drogę narażenia, jeżeli udowodniono, że inne drogi narażenia nie stwarzają zagrożenia&gt;</t>
    </r>
    <r>
      <rPr>
        <sz val="11"/>
        <rFont val="Calibri"/>
        <family val="2"/>
        <scheme val="minor"/>
      </rPr>
      <t>.</t>
    </r>
  </si>
  <si>
    <r>
      <t xml:space="preserve">Może powodować uszkodzenie narządów </t>
    </r>
    <r>
      <rPr>
        <i/>
        <sz val="11"/>
        <rFont val="Calibri"/>
        <family val="2"/>
        <scheme val="minor"/>
      </rPr>
      <t>&lt;podać wszystkie znane narządy, których to dotyczy&gt; &lt;podać drogę narażenia, jeżeli udowodniono, że inne drogi narażenia nie stwarzają zagrożenia&gt;</t>
    </r>
    <r>
      <rPr>
        <sz val="11"/>
        <rFont val="Calibri"/>
        <family val="2"/>
        <scheme val="minor"/>
      </rPr>
      <t>.</t>
    </r>
  </si>
  <si>
    <r>
      <t xml:space="preserve">Powoduje uszkodzenie narządów </t>
    </r>
    <r>
      <rPr>
        <i/>
        <sz val="11"/>
        <rFont val="Calibri"/>
        <family val="2"/>
        <scheme val="minor"/>
      </rPr>
      <t xml:space="preserve">&lt;podać wszystkie znane narządy, których to dotyczy &gt; </t>
    </r>
    <r>
      <rPr>
        <sz val="11"/>
        <rFont val="Calibri"/>
        <family val="2"/>
        <scheme val="minor"/>
      </rPr>
      <t xml:space="preserve">poprzez długotrwałe lub wielokrotne narażenie </t>
    </r>
    <r>
      <rPr>
        <i/>
        <sz val="11"/>
        <rFont val="Calibri"/>
        <family val="2"/>
        <scheme val="minor"/>
      </rPr>
      <t>&lt;podać drogę narażenia, jeżeli udowodniono, że inne drogi narażenia nie stwarzają zagrożenia&gt;</t>
    </r>
    <r>
      <rPr>
        <sz val="11"/>
        <rFont val="Calibri"/>
        <family val="2"/>
        <scheme val="minor"/>
      </rPr>
      <t>.</t>
    </r>
  </si>
  <si>
    <r>
      <t xml:space="preserve">Może powodować uszkodzenie narządów </t>
    </r>
    <r>
      <rPr>
        <i/>
        <sz val="11"/>
        <rFont val="Calibri"/>
        <family val="2"/>
        <scheme val="minor"/>
      </rPr>
      <t xml:space="preserve">&lt;podać wszystkie znane organy, których to dotyczy &gt; </t>
    </r>
    <r>
      <rPr>
        <sz val="11"/>
        <rFont val="Calibri"/>
        <family val="2"/>
        <scheme val="minor"/>
      </rPr>
      <t xml:space="preserve">poprzez długotrwałe lub wielokrotne narażenie </t>
    </r>
    <r>
      <rPr>
        <i/>
        <sz val="11"/>
        <rFont val="Calibri"/>
        <family val="2"/>
        <scheme val="minor"/>
      </rPr>
      <t>&lt;podać drogę narażenia, jeśli udowodniono, że inne drogi narażenia nie stwarzają zagrożenia&gt;</t>
    </r>
    <r>
      <rPr>
        <sz val="11"/>
        <rFont val="Calibri"/>
        <family val="2"/>
        <scheme val="minor"/>
      </rPr>
      <t>.</t>
    </r>
  </si>
  <si>
    <t>Explosivo en estado seco.</t>
  </si>
  <si>
    <t>Peligro de explosión, en contacto o sin contacto con el aire.</t>
  </si>
  <si>
    <t>Reacciona violentamente con el agua.</t>
  </si>
  <si>
    <t>Al usarlo pueden formarse mezclas aire-vapor explosivas o inflamables.</t>
  </si>
  <si>
    <t>Puede formar peróxidos explosivos.</t>
  </si>
  <si>
    <t>En contacto con agua libera gases tóxicos.</t>
  </si>
  <si>
    <t>En contacto con ácidos libera gases tóxicos.</t>
  </si>
  <si>
    <t>En contacto con ácidos libera gases muy tóxicos.</t>
  </si>
  <si>
    <t>Riesgo de explosión al calentarlo en ambiente confinado.</t>
  </si>
  <si>
    <t>La exposición repetida puede provocar sequedad o formación de grietas en la piel.</t>
  </si>
  <si>
    <t>Tóxico en contacto con los ojos.</t>
  </si>
  <si>
    <t>Corrosivo para las vías respiratorias.</t>
  </si>
  <si>
    <t>Contiene plomo. No utilizar en superficies que los niños puedan masticar o chupar.</t>
  </si>
  <si>
    <t>¡Atención! Contiene plomo.</t>
  </si>
  <si>
    <t>Cianoacrilato. Peligro. Se adhiere a la piel y a los ojos en pocos segundos. Manténgase fuera del alcance de los niños.</t>
  </si>
  <si>
    <t>Contiene cromo (VI). Puede provocar una reacción alérgica.</t>
  </si>
  <si>
    <t xml:space="preserve">Contiene componentes epoxídicos. Puede provocar una reacción alérgica. </t>
  </si>
  <si>
    <t>¡Atención! No utilizar junto con otros productos. Puede desprender gases peligrosos (cloro).</t>
  </si>
  <si>
    <t>¡Atención! Contiene cadmio. Durante su utilización se desprenden vapores peligrosos. Véase la información facilitada por el fabricante. Seguir las instrucciones de seguridad.</t>
  </si>
  <si>
    <t>Contiene &lt;nombre de la sustancia sensibilizante&gt;. Puede provocar una reacción alérgica.</t>
  </si>
  <si>
    <t>Puede inflamarse fácilmente al usarlo</t>
  </si>
  <si>
    <t>Puede inflamarse al usarlo.</t>
  </si>
  <si>
    <t>Puede solicitarse la ficha de datos de seguridad.</t>
  </si>
  <si>
    <t>A fin de evitar riesgos para las personas y el medio ambiente, siga las instrucciones de uso.</t>
  </si>
  <si>
    <t>Explosivo inestable.</t>
  </si>
  <si>
    <t>Explosivo; peligro de explosión en masa.</t>
  </si>
  <si>
    <t>Explosivo; grave peligro de proyección.</t>
  </si>
  <si>
    <t>Explosivo; peligro de incendio, de onda explosiva o de proyección.</t>
  </si>
  <si>
    <t>Peligro de incendio o de proyección.</t>
  </si>
  <si>
    <t>Peligro de explosión en masa en caso de incendio.</t>
  </si>
  <si>
    <t>Gas extremadamente inflamable.</t>
  </si>
  <si>
    <t>Gas inflamable.</t>
  </si>
  <si>
    <t>Aerosol extremadamente inflamable.</t>
  </si>
  <si>
    <t>Aerosol inflamable.</t>
  </si>
  <si>
    <t>Líquido y vapores extremadamente inflamables.</t>
  </si>
  <si>
    <t>Líquido y vapores muy inflamables.</t>
  </si>
  <si>
    <t>Líquido y vapores inflamables.</t>
  </si>
  <si>
    <t>Sólido inflamable.</t>
  </si>
  <si>
    <t>Peligro de explosión en caso de calentamiento.</t>
  </si>
  <si>
    <t>Peligro de incendio o explosión en caso de calentamiento.</t>
  </si>
  <si>
    <t>Peligro de incendio en caso de calentamiento.</t>
  </si>
  <si>
    <t>Se inflama espontáneamente en contacto con el aire.</t>
  </si>
  <si>
    <t>Se calienta espontáneamente; puede inflamarse.</t>
  </si>
  <si>
    <t>Se calienta espontáneamente en grandes cantidades; puede inflamarse.</t>
  </si>
  <si>
    <t>En contacto con el agua desprende gases inflamables que pueden inflamarse espontáneamente.</t>
  </si>
  <si>
    <t>En contacto con el agua desprende gases inflamables.</t>
  </si>
  <si>
    <t>Puede provocar o agravar un incendio; comburente.</t>
  </si>
  <si>
    <t>Puede provocar un incendio o una explosión; muy comburente.</t>
  </si>
  <si>
    <t>Puede agravar un incendio; comburente.</t>
  </si>
  <si>
    <t>Contiene gas a presión; Peligro de explosión en caso de calentamiento.</t>
  </si>
  <si>
    <t>Contiene un gas refrigerado; puede provocar quemaduras - o lesiones criogénicas.</t>
  </si>
  <si>
    <t>Puede ser corrosiva para los metales.</t>
  </si>
  <si>
    <t>Mortal en caso de ingestión.</t>
  </si>
  <si>
    <t>Tóxico en caso de ingestión.</t>
  </si>
  <si>
    <t>Nocivo en caso de ingestión.</t>
  </si>
  <si>
    <t>Puede ser mortal en caso de ingestión y de penetración en las vías respiratorias.</t>
  </si>
  <si>
    <t>Mortal en contacto con la piel.</t>
  </si>
  <si>
    <t>Tóxico en contacto con la piel.</t>
  </si>
  <si>
    <t>Nocivo en contacto con la piel.</t>
  </si>
  <si>
    <t>Provoca quemaduras graves en la piel y lesiones oculares graves.</t>
  </si>
  <si>
    <t>Provoca irritación cutánea.</t>
  </si>
  <si>
    <t>Puede provocar una reacción alérgica cutánea.</t>
  </si>
  <si>
    <t>Provoca lesiones oculares graves.</t>
  </si>
  <si>
    <t>Provoca irritación ocular grave.</t>
  </si>
  <si>
    <t>Mortal en caso de inhalación.</t>
  </si>
  <si>
    <t>Tóxico en caso de inhalación.</t>
  </si>
  <si>
    <t>Nocivo en caso de inhalación.</t>
  </si>
  <si>
    <t>Puede provocar síntomas de alergia o asma o dificultades respiratorias en caso de inhalación.</t>
  </si>
  <si>
    <t>Puede irritar las vías respiratorias.</t>
  </si>
  <si>
    <t>Puede provocar somnolencia o vértigo.</t>
  </si>
  <si>
    <t xml:space="preserve">Puede provocar cáncer por inhalación. </t>
  </si>
  <si>
    <t xml:space="preserve">Puede dañar al feto. </t>
  </si>
  <si>
    <t xml:space="preserve">Puede dañar al feto. Se sospecha que perjudica a la fertilidad. </t>
  </si>
  <si>
    <t xml:space="preserve">Puede perjudicar a la fertilidad. </t>
  </si>
  <si>
    <t xml:space="preserve">Puede perjudicar a la fertilidad. Puede dañar al feto. </t>
  </si>
  <si>
    <t xml:space="preserve">Puede perjudicar a la fertilidad. Se sospecha que daña al feto. </t>
  </si>
  <si>
    <t xml:space="preserve">Se sospecha que daña al feto. </t>
  </si>
  <si>
    <t xml:space="preserve">Se sospecha que perjudica a la fertilidad. </t>
  </si>
  <si>
    <t>Se sospecha que perjudica a la fertilidad. Se sospecha que daña al feto.</t>
  </si>
  <si>
    <t>Puede ser nocivo para los lactantes.</t>
  </si>
  <si>
    <t>Muy tóxico para los organismos acuáticos.</t>
  </si>
  <si>
    <t>Muy tóxico para los organismos acuáticos, con efectos nocivos duraderos.</t>
  </si>
  <si>
    <t>Tóxico para los organismos acuáticos, con efectos nocivos duraderos.</t>
  </si>
  <si>
    <t>Nocivo para los organismos acuáticos, con efectos nocivos duraderos.</t>
  </si>
  <si>
    <t>Puede ser nocivo para los organismos acuáticos, con efectos nocivos duraderos.</t>
  </si>
  <si>
    <t>Causa daños a la salud pública y el medio ambiente al destruir el ozono en laatmósfera superior</t>
  </si>
  <si>
    <r>
      <t xml:space="preserve">Puede provocar defectos genéticos </t>
    </r>
    <r>
      <rPr>
        <i/>
        <sz val="11"/>
        <rFont val="Calibri"/>
        <family val="2"/>
        <scheme val="minor"/>
      </rPr>
      <t>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</si>
  <si>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Se sospecha que provoca defectos genéticos </t>
    </r>
    <r>
      <rPr>
        <i/>
        <sz val="11"/>
        <rFont val="Calibri"/>
        <family val="2"/>
        <scheme val="minor"/>
      </rPr>
      <t>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</si>
  <si>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Puede provocar cáncer </t>
    </r>
    <r>
      <rPr>
        <i/>
        <sz val="11"/>
        <rFont val="Calibri"/>
        <family val="2"/>
        <scheme val="minor"/>
      </rPr>
      <t>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</si>
  <si>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Se sospecha que provoca cáncer </t>
    </r>
    <r>
      <rPr>
        <i/>
        <sz val="11"/>
        <color theme="1"/>
        <rFont val="Calibri"/>
        <family val="2"/>
        <scheme val="minor"/>
      </rPr>
      <t>&lt;indíquese la vía de exposición si se se ha demostrado concluyentemente que ninguna otra vía es peligrosa&gt;.</t>
    </r>
  </si>
  <si>
    <r>
      <t xml:space="preserve">Puede perjudicar la fertilidad o dañar al feto </t>
    </r>
    <r>
      <rPr>
        <i/>
        <sz val="11"/>
        <rFont val="Calibri"/>
        <family val="2"/>
        <scheme val="minor"/>
      </rPr>
      <t>&lt;indíquese el efecto específico si se conoce&gt; 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</si>
  <si>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Se sospecha que perjudica la fertilidad o daña al feto </t>
    </r>
    <r>
      <rPr>
        <i/>
        <sz val="11"/>
        <color theme="1"/>
        <rFont val="Calibri"/>
        <family val="2"/>
        <scheme val="minor"/>
      </rPr>
      <t>&lt;indíquese el efecto específico si se conoce&gt; &lt;indíquese la vía de exposición si se ha demostrado concluyentemente que ninguna otra vía es peligrosa&gt;</t>
    </r>
    <r>
      <rPr>
        <sz val="11"/>
        <color theme="1"/>
        <rFont val="Calibri"/>
        <family val="2"/>
        <scheme val="minor"/>
      </rPr>
      <t>.</t>
    </r>
  </si>
  <si>
    <r>
      <t xml:space="preserve">Provoca daños en los órganos </t>
    </r>
    <r>
      <rPr>
        <i/>
        <sz val="11"/>
        <rFont val="Calibri"/>
        <family val="2"/>
        <scheme val="minor"/>
      </rPr>
      <t>&lt;o indíquense todos los órganos afectados, si se conocen&gt; 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</si>
  <si>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Puede provocar daños en los órganos </t>
    </r>
    <r>
      <rPr>
        <i/>
        <sz val="11"/>
        <rFont val="Calibri"/>
        <family val="2"/>
        <scheme val="minor"/>
      </rPr>
      <t>&lt;o indíquense todos los órganos afectados, si se conocen&gt; 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</si>
  <si>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Provoca daños en los órganos </t>
    </r>
    <r>
      <rPr>
        <i/>
        <sz val="11"/>
        <rFont val="Calibri"/>
        <family val="2"/>
        <scheme val="minor"/>
      </rPr>
      <t>&lt;indíquense todos los órganos afectados, si se conocen&gt;</t>
    </r>
    <r>
      <rPr>
        <sz val="11"/>
        <rFont val="Calibri"/>
        <family val="2"/>
        <scheme val="minor"/>
      </rPr>
      <t xml:space="preserve"> tras exposiciones prolongadas o repetidas </t>
    </r>
    <r>
      <rPr>
        <i/>
        <sz val="11"/>
        <rFont val="Calibri"/>
        <family val="2"/>
        <scheme val="minor"/>
      </rPr>
      <t>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</si>
  <si>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 xml:space="preserve">Puede provocar daños en los órganos </t>
    </r>
    <r>
      <rPr>
        <i/>
        <sz val="11"/>
        <rFont val="Calibri"/>
        <family val="2"/>
        <scheme val="minor"/>
      </rPr>
      <t>&lt;indíquense todos los órganos afectados, si se conocen&gt;</t>
    </r>
    <r>
      <rPr>
        <sz val="11"/>
        <rFont val="Calibri"/>
        <family val="2"/>
        <scheme val="minor"/>
      </rPr>
      <t xml:space="preserve"> tras exposiciones prolongadas o repetidas </t>
    </r>
    <r>
      <rPr>
        <i/>
        <sz val="11"/>
        <rFont val="Calibri"/>
        <family val="2"/>
        <scheme val="minor"/>
      </rPr>
      <t>&lt;indíquese la vía de exposición si se ha demostrado concluyentemente que ninguna otra vía es peligrosa&gt;</t>
    </r>
    <r>
      <rPr>
        <sz val="11"/>
        <rFont val="Calibri"/>
        <family val="2"/>
        <scheme val="minor"/>
      </rPr>
      <t>.</t>
    </r>
  </si>
  <si>
    <r>
      <t>Contiene isocianatos. Puede provocar una reacción alérgica.</t>
    </r>
    <r>
      <rPr>
        <sz val="11"/>
        <color indexed="12"/>
        <rFont val="Calibri"/>
        <family val="2"/>
        <scheme val="minor"/>
      </rPr>
      <t xml:space="preserve"> </t>
    </r>
  </si>
  <si>
    <t>čeština</t>
  </si>
  <si>
    <t>english</t>
  </si>
  <si>
    <t>français</t>
  </si>
  <si>
    <t>nederlands</t>
  </si>
  <si>
    <t>italiano</t>
  </si>
  <si>
    <t>español</t>
  </si>
  <si>
    <t>język polski</t>
  </si>
  <si>
    <t>En cas de consultation d’un médecin, garder à disposition le récipient ou l’étiquette.</t>
  </si>
  <si>
    <t>Tenir hors de portée des enfants.</t>
  </si>
  <si>
    <t>Lire l’étiquette avant utilisation.</t>
  </si>
  <si>
    <t>Se procurer les instructions avant utilisation.</t>
  </si>
  <si>
    <t>Ne pas manipuler avant d’avoir lu et compris toutes les précautions de sécurité.</t>
  </si>
  <si>
    <t>Tenir à l’écart de la chaleur/des étincelles/des flammes nues/des surfaces chaudes. – Ne pas fumer.</t>
  </si>
  <si>
    <t>Ne pas vaporiser sur une flamme nue ou sur toute autre source d’ignition.</t>
  </si>
  <si>
    <t>Tenir/stocker à l’écart des vêtements/…/matières combustibles</t>
  </si>
  <si>
    <t>Prendre toutes précautions pour éviter de mélanger avec des matières combustibles...</t>
  </si>
  <si>
    <t>Ne pas laisser au contact de l’air.</t>
  </si>
  <si>
    <t>Éviter tout contact avec l’eau, à cause du risque de réaction violente et d’inflammation spontanée.</t>
  </si>
  <si>
    <t>Maintenir humidifié avec...</t>
  </si>
  <si>
    <t>Manipuler sous gaz inerte.</t>
  </si>
  <si>
    <t>Manipuler sous gaz inerte. Protéger de l’humidité.</t>
  </si>
  <si>
    <t>Protéger de l’humidité.</t>
  </si>
  <si>
    <t>Maintenir le récipient fermé de manière étanche.</t>
  </si>
  <si>
    <t>Conserver uniquement dans le récipient d’origine.</t>
  </si>
  <si>
    <t>Tenir au frais.</t>
  </si>
  <si>
    <t>Tenir au frais. Protéger du rayonnement solaire.</t>
  </si>
  <si>
    <t>Mise à la terre/liaison équipotentielle du récipient et du matériel de réception.</t>
  </si>
  <si>
    <t>Utiliser du matériel électrique/de ventilation/d’éclairage/…/ antidéflagrant.</t>
  </si>
  <si>
    <t>Ne pas utiliser d'outils produisant des étincelles.</t>
  </si>
  <si>
    <t>Prendre des mesures de précaution contre les décharges électrostatiques.</t>
  </si>
  <si>
    <t>S’assurer de l’absence de graisse ou d’huile sur les soupapes de réduction.</t>
  </si>
  <si>
    <t>Éviter les abrasions/les chocs/…/les frottements.</t>
  </si>
  <si>
    <t>Récipient sous pression: ne pas perforer, ni brûler, même après usage.</t>
  </si>
  <si>
    <t>Ne pas respirer les poussières/fumées/gaz/brouillards/vapeurs/ aérosols.</t>
  </si>
  <si>
    <t>Éviter de respirer les poussières/fumées/gaz/brouillards/vapeurs/ aérosols.</t>
  </si>
  <si>
    <t>Éviter tout contact avec les yeux, la peau ou les vêtements.</t>
  </si>
  <si>
    <t>Éviter tout contact avec la substance au cours de la grossesse/pendant l’allaitement.</t>
  </si>
  <si>
    <t>Ne pas manger, boire ou fumer en manipulant ce produit.</t>
  </si>
  <si>
    <t>Utiliser seulement en plein air ou dans un endroit bien ventilé.</t>
  </si>
  <si>
    <t>Les vêtements de travail contaminés ne devraient pas sortir du lieu de travail.</t>
  </si>
  <si>
    <t>Éviter le rejet dans l’environnement.</t>
  </si>
  <si>
    <t>Porter des gants de protection/des vêtements de protection/un équipement de protection des yeux/ du visage.</t>
  </si>
  <si>
    <t>Utiliser l’équipement de protection individuel requis.</t>
  </si>
  <si>
    <t>Porter des gants isolants contre le froid/un équipement de protection du visage/ des yeux.</t>
  </si>
  <si>
    <t>Porter des vêtements résistant au feu/aux flammes/ignifuges.</t>
  </si>
  <si>
    <t>Porter un équipement de protection respiratoire.</t>
  </si>
  <si>
    <t>Lorsque la ventilation du local est insuffisante, porter un équipement de protection respiratoire.</t>
  </si>
  <si>
    <t>EN CAS D’INGESTION:</t>
  </si>
  <si>
    <t>EN CAS D’INGESTION: appeler immédiatement un CENTRE ANTIPOISON ou un médecin.</t>
  </si>
  <si>
    <t>EN CAS D’INGESTION: appeler un CENTRE ANTIPOISON ou un médecin en cas de malaise.</t>
  </si>
  <si>
    <t>EN CAS D’INGESTION: rincer la bouche. NE PAS faire vomir.</t>
  </si>
  <si>
    <t>EN CAS DE CONTACT AVEC LA PEAU:</t>
  </si>
  <si>
    <t>EN CAS DE CONTACT AVEC LA PEAU: rincer à l’eau fraîche/poser une compresse humide.</t>
  </si>
  <si>
    <t>EN CAS DE CONTACT AVEC LA PEAU: laver avec précaution et abondamment à l’eau et au savon.</t>
  </si>
  <si>
    <t>EN CAS DE CONTACT AVEC LA PEAU: laver abondamment à l’eau et au savon.</t>
  </si>
  <si>
    <t>EN CAS DE CONTACT AVEC LA PEAU (ou les cheveux):</t>
  </si>
  <si>
    <t>EN CAS DE CONTACT AVEC LA PEAU (ou les cheveux): enlever immédiatement les vêtements contaminés. Rincer la peau à l’eau/se doucher.</t>
  </si>
  <si>
    <t>EN CAS D’INHALATION:</t>
  </si>
  <si>
    <t>EN CAS D’INHALATION: transporter la victime à l’extérieur et la maintenir au repos dans une position où elle peut confortablement respirer.</t>
  </si>
  <si>
    <t>EN CAS D’INHALATION: s'il y a difficulté à respirer, transporter la victime à l'extérieur et la maintenir au repos dans une position où elle peut confortablement respirer.</t>
  </si>
  <si>
    <t>EN CAS DE CONTACT AVEC LES YEUX:</t>
  </si>
  <si>
    <t>EN CAS DE CONTACT AVEC LES YEUX: rincer avec précaution à l’eau pendant plusieurs minutes. Enlever les lentilles de contact si la victime en porte et si elles peuvent être facilement enlevées. Continuer à rincer.</t>
  </si>
  <si>
    <t>EN CAS DE CONTACT AVEC LES VÊTEMENTS:</t>
  </si>
  <si>
    <t>EN CAS DE CONTACT AVEC LES VÊTEMENTS: rincer immédiatement et abondamment avec de l’eau les vêtements contaminés et la peau avant de les enlever.</t>
  </si>
  <si>
    <t>EN CAS d’exposition:</t>
  </si>
  <si>
    <t>EN CAS d’exposition: appeler un CENTRE ANTIPOISON ou un médecin.</t>
  </si>
  <si>
    <t>EN CAS d’exposition prouvée ou suspectée:</t>
  </si>
  <si>
    <t>EN CAS d’exposition prouvée ou suspectée: consulter un médecin.</t>
  </si>
  <si>
    <t>EN CAS d’exposition ou d'un malaise:</t>
  </si>
  <si>
    <t>EN CAS d’exposition ou de malaise: appeler un CENTRE ANTIPOISON ou un médecin.</t>
  </si>
  <si>
    <t>Appeler immédiatement un CENTRE ANTIPOISON ou un médecin.</t>
  </si>
  <si>
    <t>Appeler un CENTRE ANTIPOISON ou un médecin.</t>
  </si>
  <si>
    <t>Appeler un CENTRE ANTIPOISON ou un médecin en cas de malaise.</t>
  </si>
  <si>
    <t>Consulter un médecin.</t>
  </si>
  <si>
    <t>Consulter un médecin en cas de malaise.</t>
  </si>
  <si>
    <t>Consulter immédiatement un médecin.</t>
  </si>
  <si>
    <t>Un traitement spécifique est urgent (voir … sur cette étiquette).</t>
  </si>
  <si>
    <t>Mesures spécifiques (voir … sur cette étiquette).</t>
  </si>
  <si>
    <t>Rincer la bouche.</t>
  </si>
  <si>
    <t>NE PAS faire vomir.</t>
  </si>
  <si>
    <t>En cas d’irritation cutanée:</t>
  </si>
  <si>
    <t>En cas d’irritation cutanée: consulter un médecin.</t>
  </si>
  <si>
    <t>En cas d’irritation ou d’éruption cutanée:</t>
  </si>
  <si>
    <t>En cas d’irritation ou d'éruption cutanée: consulter un médecin.</t>
  </si>
  <si>
    <t>Rincer à l’eau fraîche/poser une compresse humide.</t>
  </si>
  <si>
    <t>Enlever avec précaution les particules déposées sur la peau.</t>
  </si>
  <si>
    <t>Enlever avec précaution les particules déposées sur la peau. Rincer à l’eau fraîche/poser une compresse humide.</t>
  </si>
  <si>
    <t>Dégeler les parties gelées avec de l’eau tiède. Ne pas frotter les zones touchées.</t>
  </si>
  <si>
    <t>Si l’irritation oculaire persiste:</t>
  </si>
  <si>
    <t>Si l’irritation oculaire persiste: consulter un médecin.</t>
  </si>
  <si>
    <t>Enlever les lentilles de contact si la victime en porte et si elles peuvent être facilement enlevées. Continuer à rincer.</t>
  </si>
  <si>
    <t>Transporter la victime à l'extérieur et la maintenir au repos dans une position où elle peut confortablement respirer.</t>
  </si>
  <si>
    <t>S'il y a difficulté à respirer, transporter la victime à l'extérieur et la maintenir au repos dans une position où elle peut confortablement respirer.</t>
  </si>
  <si>
    <t>En cas de symptômes respiratoires:</t>
  </si>
  <si>
    <t>En cas de symptômes respiratoires: appeler un CENTRE ANTIPOISON ou un médecin.</t>
  </si>
  <si>
    <t>Laver avec précaution et abondamment à l’eau et au savon.</t>
  </si>
  <si>
    <t>Rincer avec précaution à l’eau pendant plusieurs minutes.</t>
  </si>
  <si>
    <t>Laver abondamment à l’eau et au savon.</t>
  </si>
  <si>
    <t>Rincer la peau à l’eau/se doucher.</t>
  </si>
  <si>
    <t>Rincer immédiatement et abondamment avec de l’eau les vêtements contaminés et la peau avant de les enlever.</t>
  </si>
  <si>
    <t>Enlever immédiatement les vêtements contaminés.</t>
  </si>
  <si>
    <t>Enlever les vêtements contaminés et les laver avant réutilisation</t>
  </si>
  <si>
    <t>Laver les vêtements contaminés avant réutilisation.</t>
  </si>
  <si>
    <t>En cas d’incendie:</t>
  </si>
  <si>
    <t>En cas d’incendie: obturer la fuite si cela peut se faire sans danger.</t>
  </si>
  <si>
    <t>En cas d’incendie: évacuer la zone.</t>
  </si>
  <si>
    <t>En cas d’incendie: évacuer la zone. Combattre l’incendie à distance à cause du risque d’explosion.</t>
  </si>
  <si>
    <t>En cas d’incendie important et s’il s’agit de grandes quantités:</t>
  </si>
  <si>
    <t>En cas d’incendie important et s’il s’agit de grandes quantités: évacuer la zone. Combattre l’incendie à distance à cause du risque d’explosion.</t>
  </si>
  <si>
    <t>Risque d’explosion en cas d’incendie.</t>
  </si>
  <si>
    <t>NE PAS combattre l’incendie lorsque le feu atteint les explosifs.</t>
  </si>
  <si>
    <t>Combattre l’incendie à distance en prenant les précautions normales.</t>
  </si>
  <si>
    <t>Combattre l’incendie à distance à cause du risque d’explosion.</t>
  </si>
  <si>
    <t>Obturer la fuite si cela peut se faire sans danger.</t>
  </si>
  <si>
    <t>Fuite de gaz enflammé: Ne pas éteindre si la fuite ne peut pas être arrêtée sans danger.</t>
  </si>
  <si>
    <t>Utiliser … pour l’extinction.</t>
  </si>
  <si>
    <t>Évacuer la zone.</t>
  </si>
  <si>
    <t>Éliminer toutes les sources d’ignition si cela est faisable sans danger.</t>
  </si>
  <si>
    <t>Absorber toute substance répandue pour éviter qu’elle attaque les matériaux environnants.</t>
  </si>
  <si>
    <t>Recueillir le produit répandu.</t>
  </si>
  <si>
    <t>Stocker …</t>
  </si>
  <si>
    <t>Stocker dans un endroit sec.</t>
  </si>
  <si>
    <t>Stocker dans un endroit sec. Stocker dans un récipient fermé.</t>
  </si>
  <si>
    <t>Stocker dans un endroit bien ventilé.</t>
  </si>
  <si>
    <t>Stocker dans un endroit bien ventilé. Maintenir le récipient fermé de manière étanche.</t>
  </si>
  <si>
    <t>Stocker dans un endroit bien ventilé. Tenir au frais.</t>
  </si>
  <si>
    <t>Stocker dans un récipient fermé.</t>
  </si>
  <si>
    <t>Garder sous clef.</t>
  </si>
  <si>
    <t>Stocker dans un récipient résistant à la corrosion/récipient en ... avec doublure intérieure résistant à la corrosion.</t>
  </si>
  <si>
    <t>Maintenir un intervalle d’air entre les piles/palettes.</t>
  </si>
  <si>
    <t>Protéger du rayonnement solaire.</t>
  </si>
  <si>
    <t>Protéger du rayonnement solaire. Stocker dans un endroit bien ventilé.</t>
  </si>
  <si>
    <t>Protéger du rayonnement solaire. Ne pas exposer à une température supérieure à 50 °C/122 °F.</t>
  </si>
  <si>
    <t>Stocker à une température ne dépassant pas … °C/… °F.</t>
  </si>
  <si>
    <t>Stocker à une température ne dépassant pas … °C/… °F. Tenir au frais.</t>
  </si>
  <si>
    <t>Ne pas exposer à une température supérieure à 50 °C/122 °F.</t>
  </si>
  <si>
    <t>Stocker les quantités en vrac de plus de … kg/… lb à une température ne dépassant pas … °C/… °F.</t>
  </si>
  <si>
    <t>Stocker à l’écart des autres matières.</t>
  </si>
  <si>
    <t>Stocker le contenu sous …</t>
  </si>
  <si>
    <t>Éliminer le contenu/récipient dans …</t>
  </si>
  <si>
    <t>Bij het inwinnen van medisch advies, de verpakking of het etiket ter beschikking houden.</t>
  </si>
  <si>
    <t>Buiten het bereik van kinderen houden.</t>
  </si>
  <si>
    <t>Alvorens te gebruiken, het etiket lezen.</t>
  </si>
  <si>
    <t>Alvorens te gebruiken de speciale aanwijzingen raadplegen.</t>
  </si>
  <si>
    <t>Pas gebruiken nadat u alle veiligheidsvoorschriften gelezen en begrepen heeft</t>
  </si>
  <si>
    <t>Verwijderd houden van warmte/vonken/open vuur/hete oppervlakken. – Niet roken.</t>
  </si>
  <si>
    <t>Niet in een open vuur of op andere ontstekingsbronnen spuiten.</t>
  </si>
  <si>
    <t>Van kleding/…/brandbare stoffen verwijderd houden/bewaren.</t>
  </si>
  <si>
    <t>Vermenging met brandbare stoffen… absoluut vermijden.</t>
  </si>
  <si>
    <t>Contact met de lucht vermijden.</t>
  </si>
  <si>
    <t>Contact met water vermijden in verband met een heftige reactie en een mogelijke wolkbrand.</t>
  </si>
  <si>
    <t>Vochtig houden met…</t>
  </si>
  <si>
    <t>Onder inert gas werken.</t>
  </si>
  <si>
    <t>Onder inert gas werken. Tegen vocht beschermen.</t>
  </si>
  <si>
    <t>Tegen vocht beschermen.</t>
  </si>
  <si>
    <t>In goed gesloten verpakking bewaren.</t>
  </si>
  <si>
    <t>Uitsluitend in de oorspronkelijke verpakking bewaren.</t>
  </si>
  <si>
    <t>Koel bewaren.</t>
  </si>
  <si>
    <t>Koel bewaren. Tegen zonlicht beschermen.</t>
  </si>
  <si>
    <t>Opslag- en opvangreservoir aarden.</t>
  </si>
  <si>
    <t>Explosieveilige elektrische/ventilatie-/verlichtings-/…apparatuur gebruiken.</t>
  </si>
  <si>
    <t>Uitsluitend vonkvrij gereedschap gebruiken.</t>
  </si>
  <si>
    <t>Voorzorgsmaatregelen treffen tegen ontladingen van statische elektriciteit.</t>
  </si>
  <si>
    <t>Reduceerventielen vrij van olie en vet houden.</t>
  </si>
  <si>
    <t>Malen/schokken/…/wrijving vermijden.</t>
  </si>
  <si>
    <t>Houder onder druk: ook na gebruik niet doorboren of verbranden.</t>
  </si>
  <si>
    <t>Stof/rook/gas/nevel/damp/spuitnevel niet inademen.</t>
  </si>
  <si>
    <t>Inademing van stof/rook/gas/nevel/damp/spuitnevel vermijden.</t>
  </si>
  <si>
    <t>Contact met de ogen, de huid of de kleding vermijden.</t>
  </si>
  <si>
    <t>Bij zwangerschap of borstvoeding aanraking vermijden.</t>
  </si>
  <si>
    <t>Niet eten, drinken of roken tijdens het gebruik van dit product.</t>
  </si>
  <si>
    <t>Alleen buiten of in een goed geventileerde ruimte gebruiken.</t>
  </si>
  <si>
    <t>Verontreinigde werkkleding mag de werkruimte niet verlaten.</t>
  </si>
  <si>
    <t>Voorkom lozing in het milieu.</t>
  </si>
  <si>
    <t>Beschermende handschoenen/beschermende kleding/oog­bescherming/gelaatsbescherming dragen.</t>
  </si>
  <si>
    <t>De nodige persoonlijke beschermingsuitrusting gebruiken.</t>
  </si>
  <si>
    <t>Koude-isolerende handschoenen/gelaatsbescherming/oogbescherming dragen.</t>
  </si>
  <si>
    <t>Vuur/vlambestendige/brandwerende kleding dragen.</t>
  </si>
  <si>
    <t>Adembescherming dragen.</t>
  </si>
  <si>
    <t>Bij ontoereikende ventilatie een geschikte adembescherming dragen.</t>
  </si>
  <si>
    <t>NA INSLIKKEN:</t>
  </si>
  <si>
    <t>NA INSLIKKEN: onmiddellijk een ANTIGIFCENTRUM of een arts raadplegen.</t>
  </si>
  <si>
    <t>NA INSLIKKEN: bij onwel voelen een ANTIGIFCENTRUM of een arts raadplegen.</t>
  </si>
  <si>
    <t>NA INSLIKKEN: de mond spoelen – GEEN braken opwekken.</t>
  </si>
  <si>
    <t>BIJ CONTACT MET DE HUID:</t>
  </si>
  <si>
    <t>BIJ CONTACT MET DE HUID: in koud water onderdompelen/nat verband aanbrengen.</t>
  </si>
  <si>
    <t>BIJ CONTACT MET DE HUID: voorzichtig wassen met veel water en zeep.</t>
  </si>
  <si>
    <t>BIJ CONTACT MET DE HUID: met veel water en zeep wassen.</t>
  </si>
  <si>
    <t>BIJ CONTACT MET DE HUID (of het haar):</t>
  </si>
  <si>
    <t>BIJ CONTACT MET DE HUID (of het haar): verontreinigde kleding onmiddellijk uittrekken – huid met water afspoelen/afdouchen.</t>
  </si>
  <si>
    <t>NA INADEMING:</t>
  </si>
  <si>
    <t>NA INADEMING: het slachtoffer in de frisse lucht brengen en laten rusten in een houding die het ademen vergemakkelijkt.</t>
  </si>
  <si>
    <t>NA INADEMING: bij ademhalingsmoeilijkheden het slachtoffer in de frisse lucht brengen en laten rusten in een houding die het ademen vergemakkelijkt.</t>
  </si>
  <si>
    <t>BIJ CONTACT MET DE OGEN:</t>
  </si>
  <si>
    <t>BIJ CONTACT MET DE OGEN: voorzichtig afspoelen met water gedurende een aantal minuten; contactlenzen verwijderen, indien mogelijk; blijven spoelen.</t>
  </si>
  <si>
    <t>NA MORSEN OP KLEDING:</t>
  </si>
  <si>
    <t>NA MORSEN OP KLEDING: verontreinigde kleding en huid onmiddellijk met veel water afspoelen en pas daarna kleding uittrekken.</t>
  </si>
  <si>
    <t>NA blootstelling:</t>
  </si>
  <si>
    <t>NA blootstelling: een ANTIGIFCENTRUM of een arts raadplegen.</t>
  </si>
  <si>
    <t>NA (mogelijke) blootstelling:</t>
  </si>
  <si>
    <t>NA (mogelijke) blootstelling: een arts raadplegen.</t>
  </si>
  <si>
    <t>NA blootstelling of bij onwel voelen:</t>
  </si>
  <si>
    <t>NA blootstelling of bij onwel voelen: een ANTIGIFCENTRUM of een arts raadplegen.</t>
  </si>
  <si>
    <t>Onmiddellijk een ANTIGIFCENTRUM of een arts raadplegen.</t>
  </si>
  <si>
    <t>Een ANTIGIFCENTRUM of een arts raadplegen.</t>
  </si>
  <si>
    <t>Bij onwel voelen een ANTIGIFCENTRUM of een arts raadplegen.</t>
  </si>
  <si>
    <t>Een arts raadplegen.</t>
  </si>
  <si>
    <t>Bij onwel voelen een arts raadplegen.</t>
  </si>
  <si>
    <t>Onmiddellijk een arts raadplegen.</t>
  </si>
  <si>
    <t>Specifieke behandeling dringend vereist (zie … op dit etiket).</t>
  </si>
  <si>
    <t>Specifieke maatregelen (zie … op dit etiket).</t>
  </si>
  <si>
    <t>De mond spoelen.</t>
  </si>
  <si>
    <t>GEEN braken opwekken.</t>
  </si>
  <si>
    <t>Bij huidirritatie:</t>
  </si>
  <si>
    <t>Bij huidirritatie: een arts raadplegen.</t>
  </si>
  <si>
    <t>Bij huidirritatie of uitslag:</t>
  </si>
  <si>
    <t>Bij huidirritatie of uitslag: een arts raadplegen.</t>
  </si>
  <si>
    <t>In koud water onderdompelen/nat verband aanbrengen.</t>
  </si>
  <si>
    <t>Losse deeltjes van de huid afvegen.</t>
  </si>
  <si>
    <t>Losse deeltjes van de huid afvegen. In koud water onderdompelen/nat verband aanbrengen.</t>
  </si>
  <si>
    <t>Bevroren lichaamsdelen met lauw water ontdooien. Niet wrijven op de betrokken plaatsen.</t>
  </si>
  <si>
    <t>Bij aanhoudende oogirritatie:</t>
  </si>
  <si>
    <t>Bij aanhoudende oogirritatie: een arts raadplegen.</t>
  </si>
  <si>
    <t>Contactlenzen verwijderen, indien mogelijk. Blijven spoelen.</t>
  </si>
  <si>
    <t>Het slachtoffer in de frisse lucht brengen en laten rusten in een houding die het ademen vergemakkelijkt.</t>
  </si>
  <si>
    <t>Bij ademhalingsmoeilijkheden het slachtoffer in de frisse lucht brengen en laten rusten in een houding die het ademen vergemakkelijkt.</t>
  </si>
  <si>
    <t>Bij ademhalingssymptomen:</t>
  </si>
  <si>
    <t>Bij ademhalingssymptomen: een ANTIGIFCENTRUM of een arts raadplegen.</t>
  </si>
  <si>
    <t>Voorzichtig wassen met veel water en zeep.</t>
  </si>
  <si>
    <t>Voorzichtig afspoelen met water gedurende een aantal minuten.</t>
  </si>
  <si>
    <t>Met veel water en zeep wassen.</t>
  </si>
  <si>
    <t>Huid met water afspoelen/afdouchen.</t>
  </si>
  <si>
    <t>Verontreinigde kleding en huid onmiddellijk met veel water afspoelen en pas daarna kleding uittrekken.</t>
  </si>
  <si>
    <t>Verontreinigde kleding onmiddellijk uittrekken.</t>
  </si>
  <si>
    <t>Verontreinigde kleding uittrekken en wassen alvorens deze opnieuw te gebruiken.</t>
  </si>
  <si>
    <t>Verontreinigde kleding wassen alvorens deze opnieuw te gebruiken.</t>
  </si>
  <si>
    <t>In geval van brand:</t>
  </si>
  <si>
    <t>In geval van brand: het lek dichten als dat veilig gedaan kan worden.</t>
  </si>
  <si>
    <t>In geval van brand: evacueren.</t>
  </si>
  <si>
    <t>In geval van brand: evacueren. Op afstand blussen omwille van ontploffingsgevaar.</t>
  </si>
  <si>
    <t>In geval van grote brand en grote hoeveelheden:</t>
  </si>
  <si>
    <t>In geval van grote brand en grote hoeveelheden: evacueren. Op afstand blussen omwille van ontploffingsgevaar.</t>
  </si>
  <si>
    <t>Ontploffingsgevaar in geval van brand.</t>
  </si>
  <si>
    <t>NIET blussen wanneer het vuur de ontplofbare stoffen bereikt.</t>
  </si>
  <si>
    <t>Met normale voorzorgen vanaf een redelijke afstand blussen.</t>
  </si>
  <si>
    <t>Op afstand blussen omwille van ontploffingsgevaar.</t>
  </si>
  <si>
    <t>Het lek dichten als dat veilig gedaan kan worden.</t>
  </si>
  <si>
    <t>Brand door lekkend gas: niet blussen, tenzij het lek veilig gedicht kan worden.</t>
  </si>
  <si>
    <t>Blussen met …</t>
  </si>
  <si>
    <t>Evacueren.</t>
  </si>
  <si>
    <t>Alle ontstekingsbronnen wegnemen als dat veilig gedaan kan worden.</t>
  </si>
  <si>
    <t>Gelekte/gemorste stof opnemen om materiële schade te vermijden.</t>
  </si>
  <si>
    <t>Gelekte/gemorste stof opruimen.</t>
  </si>
  <si>
    <t>… bewaren.</t>
  </si>
  <si>
    <t>Op een droge plaats bewaren.</t>
  </si>
  <si>
    <t>Op een droge plaats bewaren. In gesloten verpakking bewaren.</t>
  </si>
  <si>
    <t>Op een goed geventileerde plaats bewaren.</t>
  </si>
  <si>
    <t>Op een goed geventileerde plaats bewaren. In goed gesloten verpakking bewaren.</t>
  </si>
  <si>
    <t>Op een goed geventileerde plaats bewaren. Koel bewaren.</t>
  </si>
  <si>
    <t>In gesloten verpakking bewaren.</t>
  </si>
  <si>
    <t>Achter slot bewaren.</t>
  </si>
  <si>
    <t>In corrosiebestendige/… houder met corrosiebestendige binnenbekleding bewaren.</t>
  </si>
  <si>
    <t>Ruimte laten tussen stapels/pallets.</t>
  </si>
  <si>
    <t>Tegen zonlicht beschermen.</t>
  </si>
  <si>
    <t>Tegen zonlicht beschermen. Op een goed geventileerde plaats bewaren.</t>
  </si>
  <si>
    <t>Tegen zonlicht beschermen. Niet blootstellen aan temperaturen boven 50°C/ 122°F.</t>
  </si>
  <si>
    <t>Bij maximaal … °C/…°F bewaren.</t>
  </si>
  <si>
    <t>Bij maximaal …°C/...°F bewaren. Koel bewaren.</t>
  </si>
  <si>
    <t>Niet blootstellen aan temperaturen boven 50°C/ 122°F.</t>
  </si>
  <si>
    <t>Bulkmateriaal, indien meer dan … kg/… lbs, bij temperaturen van maximaal … °C bewaren.</t>
  </si>
  <si>
    <t>Gescheiden van ander materiaal bewaren.</t>
  </si>
  <si>
    <t>Onder … bewaren.</t>
  </si>
  <si>
    <t>Inhoud/verpakking afvoeren naar …</t>
  </si>
  <si>
    <t>In caso di consultazione di un medico, tenere a disposizione il contenitore o l'etichetta del prodotto.</t>
  </si>
  <si>
    <t>Tenere fuori dalla portata dei bambini.</t>
  </si>
  <si>
    <t>Leggere l’etichetta prima dell’uso.</t>
  </si>
  <si>
    <t>Procurarsi istruzioni specifiche prima dell’uso.</t>
  </si>
  <si>
    <t>Non manipolare prima di avere letto e compreso tutte le avvertenze.</t>
  </si>
  <si>
    <t>Tenere lontano da fonti di calore/scintille/fiamme libere/superfici riscaldate. – Non fumare.</t>
  </si>
  <si>
    <t>Non vaporizzare su una fiamma libera o altra fonte di accensione.</t>
  </si>
  <si>
    <t>Tenere/conservare lontano da indumenti/......./ materiali combustibili.</t>
  </si>
  <si>
    <t>Prendere ogni precauzione per evitare di miscelare con sostanze combustibili....</t>
  </si>
  <si>
    <t>Evitare il contatto con l’aria.</t>
  </si>
  <si>
    <t>Evitare qualsiasi contatto con l’acqua: pericolo di reazione violenta e di infiammazione spontanea.</t>
  </si>
  <si>
    <t>Mantenere umido con....</t>
  </si>
  <si>
    <t>Manipolare in atmosfera di gas inerte.</t>
  </si>
  <si>
    <t>Manipolare in atmosfera di gas inerte. Tenere al riparo dall’umidità.</t>
  </si>
  <si>
    <t>Proteggere dall’umidità.</t>
  </si>
  <si>
    <t>Tenere il recipiente ben chiuso.</t>
  </si>
  <si>
    <t>Conservare soltanto nel contenitore originale.</t>
  </si>
  <si>
    <t>Conservare in luogo fresco.</t>
  </si>
  <si>
    <t>Tenere in luogo fresco. Proteggere dai raggi solari.</t>
  </si>
  <si>
    <t>Mettere a terra/massa il contenitore e il dispositivo ricevente.</t>
  </si>
  <si>
    <t>Utilizzare impianti elettrici/di ventilazione/d’illuminazione/…/ a prova di esplosione.</t>
  </si>
  <si>
    <t>Utilizzare solo utensili antiscintillamento.</t>
  </si>
  <si>
    <t>Prendere precauzioni contro le scariche elettrostatiche.</t>
  </si>
  <si>
    <t>Mantenere le valvole di riduzione libere da grasso e olio.</t>
  </si>
  <si>
    <t>Evitare le abrasioni /gli urti/…./gli attriti.</t>
  </si>
  <si>
    <t>Recipiente sotto pressione: non perforare né bruciare, neppure dopo l’uso.</t>
  </si>
  <si>
    <t>Non respirare la polvere/i fumi/i gas/la nebbia/i vapori/gli aerosol.</t>
  </si>
  <si>
    <t>Evitare di respirare la polvere/i fumi/i gas/la nebbia/i vapori/gli aerosol.</t>
  </si>
  <si>
    <t>Evitare il contatto con gli occhi, la pelle o gli indumenti.</t>
  </si>
  <si>
    <t>Evitare il contatto durante la gravidanza/l’allattamento.</t>
  </si>
  <si>
    <t>Non mangiare, né bere, né fumare durante l’uso.</t>
  </si>
  <si>
    <t>Utilizzare soltanto all’aperto o in luogo ben ventilato.</t>
  </si>
  <si>
    <t>Gli indumenti da lavoro contaminati non devono essere portati fuori dal luogo di lavoro.</t>
  </si>
  <si>
    <t>Non disperdere nell’ambiente.</t>
  </si>
  <si>
    <t>Indossare guanti/indumenti protettivi/Proteggere gli occhi/il viso.</t>
  </si>
  <si>
    <t>Utilizzare il dispositivo di protezione individuale richiesto.</t>
  </si>
  <si>
    <t>Utilizzare guanti termici/schermo facciale/Proteggere gli occhi.</t>
  </si>
  <si>
    <t>Indossare indumenti completamente ignifughi o in tessuti ritardanti di fiamma.</t>
  </si>
  <si>
    <t>Utilizzare un apparecchio respiratorio.</t>
  </si>
  <si>
    <t>In caso di ventilazione insufficiente utilizzare un apparecchio respiratorio.</t>
  </si>
  <si>
    <t>IN CASO DI INGESTIONE:</t>
  </si>
  <si>
    <t>IN CASO DI INGESTIONE: contattare immediatamente un CENTRO ANTIVELENI o un medico</t>
  </si>
  <si>
    <t>IN CASO DI INGESTIONE accompagnata da malessere: contattare un CENTRO ANTIVELENI o un medico.</t>
  </si>
  <si>
    <t>IN CASO DI INGESTIONE: sciacquare la bocca. NON provocare il vomito.</t>
  </si>
  <si>
    <t>IN CASO DI CONTATTO CON LA PELLE:</t>
  </si>
  <si>
    <t>IN CASO DI CONTATTO CON LA PELLE: immergere in acqua fredda/avvolgere con un bendaggio umido.</t>
  </si>
  <si>
    <t>IN CASO DI CONTATTO CON LA PELLE: lavare delicatamente e abbondantemente con acqua e sapone.</t>
  </si>
  <si>
    <t>IN CASO DI CONTATTO CON LA PELLE: lavare abbondantemente con acqua e sapone.</t>
  </si>
  <si>
    <t>IN CASO DI CONTATTO CON LA PELLE (o con i capelli):</t>
  </si>
  <si>
    <t>IN CASO DI CONTATTO CON LA PELLE (o con i capelli): togliersi di dosso immediatamente tutti gli indumenti contaminati. Sciacquare la pelle/fare una doccia.</t>
  </si>
  <si>
    <t>IN CASO DI INALAZIONE:</t>
  </si>
  <si>
    <t>IN CASO DI INALAZIONE: trasportare l'infortunato all’aria aperta e mantenerlo a riposo in posizione che favorisca la respirazione.</t>
  </si>
  <si>
    <t>IN CASO DI INALAZIONE: se la respirazione è difficile, trasportare l'infortunato all’aria aperta e mantenerlo a riposo in posizione che favorisca la respirazione.</t>
  </si>
  <si>
    <t>IN CASO DI CONTATTO CON GLI OCCHI:</t>
  </si>
  <si>
    <t>IN CASO DI CONTATTO CON GLI OCCHI: sciacquare accuratamente per parecchi minuti. Togliere le eventuali lenti a contatto se è agevole farlo. Continuare a sciacquare.</t>
  </si>
  <si>
    <t>IN CASO DI CONTATTO CON GLI INDUMENTI:</t>
  </si>
  <si>
    <t>IN CASO DI CONTATTO CON GLI INDUMENTI: sciacquare immediatamente e abbondantemente gli indumenti contaminati e la pelle prima di togliersi gli indumenti.</t>
  </si>
  <si>
    <t>IN CASO di esposizione:</t>
  </si>
  <si>
    <t>IN CASO di esposizione, contattare un CENTRO ANTIVELENI o un medico.</t>
  </si>
  <si>
    <t>IN CASO di esposizione o di possibile esposizione:</t>
  </si>
  <si>
    <t>IN CASO di esposizione o di possibile esposizione, consultare un medico.</t>
  </si>
  <si>
    <t>IN CASO di esposizione o di malessere:</t>
  </si>
  <si>
    <t>IN CASO di esposizione o di malessere, contattare un CENTRO ANTIVELENI o un medico.</t>
  </si>
  <si>
    <t>Contattare immediatamente un CENTRO ANTIVELENI o un medico.</t>
  </si>
  <si>
    <t>Contattare un CENTRO ANTIVELENI o un medico.</t>
  </si>
  <si>
    <t>In caso di malessere, contattare un CENTRO ANTIVELENI o un medico.</t>
  </si>
  <si>
    <t>Consultare un medico.</t>
  </si>
  <si>
    <t>In caso di malessere, consultare un medico.</t>
  </si>
  <si>
    <t>Consultare immediatamente un medico.</t>
  </si>
  <si>
    <t>Trattamento specifico urgente (vedere….... su questa etichetta).</t>
  </si>
  <si>
    <t>Misure specifiche (vedere …..su questa etichetta).</t>
  </si>
  <si>
    <t>Sciacquare la bocca.</t>
  </si>
  <si>
    <t>NON provocare il vomito.</t>
  </si>
  <si>
    <t>In caso di irritazione della pelle:</t>
  </si>
  <si>
    <t>In caso di irritazione della pelle: consultare un medico.</t>
  </si>
  <si>
    <t>In caso di irritazione o eruzione della pelle:</t>
  </si>
  <si>
    <t>In caso di irritazione o eruzione della pelle: consultare un medico.</t>
  </si>
  <si>
    <t>Immergere in acqua fredda/avvolgere con un bendaggio umido.</t>
  </si>
  <si>
    <t>Rimuovere le particelle depositate sulla pelle.</t>
  </si>
  <si>
    <t>Rimuovere le particelle depositate sulla pelle. Immergere in acqua fredda/avvolgere con un bendaggio umido.</t>
  </si>
  <si>
    <t>Sgelare le parti congelate usando acqua tiepida. Non sfregare la parte interessata.</t>
  </si>
  <si>
    <t>Se l’irritazione degli occhi persiste:</t>
  </si>
  <si>
    <t>Se l’irritazione degli occhi persiste, consultare un medico.</t>
  </si>
  <si>
    <t>Togliere le eventuali lenti a contatto se è agevole farlo. Continuare a sciacquare.</t>
  </si>
  <si>
    <t>Trasportare l'infortunato all’aria aperta e mantenerlo a riposo in posizione che favorisca la respirazione.</t>
  </si>
  <si>
    <t>Se la respirazione è difficile, trasportare l'infortunato all’aria aperta e mantenerlo a riposo in posizione che favorisca la respirazione.</t>
  </si>
  <si>
    <t>In caso di sintomi respiratori:</t>
  </si>
  <si>
    <t>In caso di sintomi respiratori: contattare un CENTRO ANTIVELENI o un medico.</t>
  </si>
  <si>
    <t>Lavare delicatamente e abbondantemente con acqua e sapone.</t>
  </si>
  <si>
    <t>Sciacquare accuratamente per parecchi minuti.</t>
  </si>
  <si>
    <t>Lavare abbondantemente con acqua e sapone.</t>
  </si>
  <si>
    <t>Sciacquare la pelle/fare una doccia.</t>
  </si>
  <si>
    <t>Sciacquare immediatamente e abbondantemente gli indumenti contaminati e la pelle prima di togliersi gli indumenti.</t>
  </si>
  <si>
    <t>Togliersi di dosso immediatamente tutti gli indumenti contaminati.</t>
  </si>
  <si>
    <t>Togliersi di dosso gli indumenti contaminati e lavarli prima di indossarli nuovamente.</t>
  </si>
  <si>
    <t>Lavare gli indumenti contaminati prima di indossarli nuovamente.</t>
  </si>
  <si>
    <t>In caso di incendio:</t>
  </si>
  <si>
    <t>In caso di incendio: bloccare la perdita se non c’è pericolo.</t>
  </si>
  <si>
    <t>Evacuare la zona in caso di incendio.</t>
  </si>
  <si>
    <t>In caso di incendio: evacuare la zona. Rischio di esplosione. Utilizzare i mezzi estinguenti a grande distanza.</t>
  </si>
  <si>
    <t>In caso di incendio grave e di quantità rilevanti:</t>
  </si>
  <si>
    <t>In caso di incendio grave e di grandi quantità: evacuare la zona. Rischio di esplosione. Utilizzare i mezzi estinguenti a grande distanza.</t>
  </si>
  <si>
    <t>Rischio di esplosione in caso di incendio.</t>
  </si>
  <si>
    <t>NON utilizzare mezzi estinguenti se l’incendio raggiunge materiali esplosivi.</t>
  </si>
  <si>
    <t>Utilizzare i mezzi estinguenti con le precauzioni abituali a distanza ragionevole.</t>
  </si>
  <si>
    <t>Rischio di esplosione. Utilizzare i mezzi estinguenti a grande distanza.</t>
  </si>
  <si>
    <t>Bloccare la perdita se non c’è pericolo.</t>
  </si>
  <si>
    <t>In caso d’incendio dovuto a perdita di gas, non estinguere a meno che non sia possibile bloccare la perdita senza pericolo.</t>
  </si>
  <si>
    <t>Estinguere con…</t>
  </si>
  <si>
    <t>Evacuare la zona.</t>
  </si>
  <si>
    <t>Eliminare ogni fonte di accensione se non c’è pericolo.</t>
  </si>
  <si>
    <t>Assorbire la fuoriuscita per evitare danni materiali.</t>
  </si>
  <si>
    <t>Raccogliere il materiale fuoriuscito.</t>
  </si>
  <si>
    <t>Conservare…</t>
  </si>
  <si>
    <t>Conservare in luogo asciutto.</t>
  </si>
  <si>
    <t>Conservare in luogo asciutto e in recipiente chiuso.</t>
  </si>
  <si>
    <t>Conservare in luogo ben ventilato.</t>
  </si>
  <si>
    <t>Tenere il recipiente ben chiuso e in luogo ben ventilato.</t>
  </si>
  <si>
    <t>Conservare in luogo fresco e ben ventilato.</t>
  </si>
  <si>
    <t>Conservare in un recipiente chiuso.</t>
  </si>
  <si>
    <t>Conservare sotto chiave.</t>
  </si>
  <si>
    <t>Conservare in recipiente resistente alla corrosione/... provvisto di rivestimento interno resistente.</t>
  </si>
  <si>
    <t>Mantenere uno spazio libero tra gli scaffali/i pallet.</t>
  </si>
  <si>
    <t>Proteggere dai raggi solari.</t>
  </si>
  <si>
    <t xml:space="preserve">Proteggere dai raggi solari. Conservare in luogo ben ventilato. </t>
  </si>
  <si>
    <t>Proteggere dai raggi solari. Non esporre a temperature superiori a 50°C/122°F.</t>
  </si>
  <si>
    <t>Conservare a temperature non superiori a …°C/…°F.</t>
  </si>
  <si>
    <t>Conservare in luogo fresco a temperature non superiori a ....°C/...°F.</t>
  </si>
  <si>
    <t>Non esporre a temperature superiori a 50°C/122°F.</t>
  </si>
  <si>
    <t>Conservare le rinfuse di peso superiore a …....kg/…..lb a temperature non superiori a …°C/..°F.</t>
  </si>
  <si>
    <t>Conservare lontano da altri materiali.</t>
  </si>
  <si>
    <t>Conservare sotto…</t>
  </si>
  <si>
    <t>Smaltire il prodotto/recipiente in ...</t>
  </si>
  <si>
    <t>Si se necesita consejo médico, tener a mano el envase o la etiqueta.</t>
  </si>
  <si>
    <t>Mantener fuera del alcance de los niños.</t>
  </si>
  <si>
    <t>Leer la etiqueta antes del uso.</t>
  </si>
  <si>
    <t>Pedir instrucciones especiales antes del uso.</t>
  </si>
  <si>
    <t>No manipular la sustancia antes de haber leído y comprendido todas las instrucciones de seguridad.</t>
  </si>
  <si>
    <t>Mantener alejado de fuentes de calor, chispas, llama abierta o superficies calientes. – No fumar.</t>
  </si>
  <si>
    <t>No pulverizar sobre una llama abierta u otra fuente de ignición.</t>
  </si>
  <si>
    <t>Mantener o almacenar alejado de la ropa /…/ materiales combustibles.</t>
  </si>
  <si>
    <t>Tomar todas las precauciones necesarias para no mezclar con materias combustibles...</t>
  </si>
  <si>
    <t>No dejar que entre en contacto con el aire.</t>
  </si>
  <si>
    <t>Mantener alejado de cualquier posible contacto con el agua, pues reacciona violentamente y puede provocar una llamarada.</t>
  </si>
  <si>
    <t>Mantener humedecido con…</t>
  </si>
  <si>
    <t>Manipular en gas inerte.</t>
  </si>
  <si>
    <t>Manipular en gas inerte. Proteger de la humedad.</t>
  </si>
  <si>
    <t>Proteger de la humedad.</t>
  </si>
  <si>
    <t>Mantener el recipiente herméticamente cerrado.</t>
  </si>
  <si>
    <t>Conservar únicamente en el recipiente original.</t>
  </si>
  <si>
    <t>Mantener en lugar fresco.</t>
  </si>
  <si>
    <t>Conservar en un lugar fresco. Proteger de la luz del sol.</t>
  </si>
  <si>
    <t>Conectar a tierra / enlace equipotencial del recipiente y del equipo de recepción.</t>
  </si>
  <si>
    <t>Utilizar un material eléctrico, de ventilación o de iluminación /…/ antideflagrante.</t>
  </si>
  <si>
    <t>Utilizar únicamente herramientas que no produzcan chispas.</t>
  </si>
  <si>
    <t>Tomar medidas de precaución contra descargas electrostáticas.</t>
  </si>
  <si>
    <t>Mantener las válvulas de reducción limpias de grasa y aceite.</t>
  </si>
  <si>
    <t>Evitar la abrasión/el choque/…/la fricción.</t>
  </si>
  <si>
    <t>Recipiente a presión: no perforar ni quemar, aun después del uso.</t>
  </si>
  <si>
    <t>No respirar el polvo/el humo/el gas/la niebla/los vapores/el aerosol.</t>
  </si>
  <si>
    <t>Evitar respirar el polvo/el humo/el gas/la niebla/los vapores/el aerosol.</t>
  </si>
  <si>
    <t>Evitar el contacto con los ojos, la piel o la ropa.</t>
  </si>
  <si>
    <t>Evitar el contacto durante el embarazo/la lactancia.</t>
  </si>
  <si>
    <t>No comer, beber ni fumar durante su utilización.</t>
  </si>
  <si>
    <t>Utilizar únicamente en exteriores o en un lugar bien ventilado.</t>
  </si>
  <si>
    <t>Las prendas de trabajo contaminadas no podrán sacarse del lugar de trabajo.</t>
  </si>
  <si>
    <t>Evitar su liberación al medio ambiente.</t>
  </si>
  <si>
    <t>Llevar guantes/prendas/gafas/máscara de protección.</t>
  </si>
  <si>
    <t>Utilizar el equipo de protección individual obligatorio.</t>
  </si>
  <si>
    <t>Llevar guantes que aíslen del frío/gafas/máscara.</t>
  </si>
  <si>
    <t>Llevar prendas ignífugas/resistentes al fuego/resistentes a las llamas.</t>
  </si>
  <si>
    <t>Llevar equipo de protección respiratoria.</t>
  </si>
  <si>
    <t>En caso de ventilación insuficiente, llevar equipo de protección respiratoria.</t>
  </si>
  <si>
    <t>EN CASO DE INGESTIÓN:</t>
  </si>
  <si>
    <t>EN CASO DE INGESTIÓN: Llamar inmediatamente a un CENTRO DE INFORMACIÓN TOXICOLÓGICA o a un médico.</t>
  </si>
  <si>
    <t>EN CASO DE INGESTIÓN: Llamar a un CENTRO DE INFORMACIÓN TOXICOLÓGICA o a un médico si se encuentra mal.</t>
  </si>
  <si>
    <t>EN CASO DE INGESTIÓN: Enjuagarse la boca. NO provocar el vómito.</t>
  </si>
  <si>
    <t>EN CASO DE CONTACTO CON LA PIEL:</t>
  </si>
  <si>
    <t>EN CASO DE CONTACTO CON LA PIEL: Sumergir en agua fresca/aplicar compresas húmedas.</t>
  </si>
  <si>
    <t>EN CASO DE CONTACTO CON LA PIEL: Lavar suavemente con agua y jabón abundantes.</t>
  </si>
  <si>
    <t>EN CASO DE CONTACTO CON LA PIEL: Lavar con agua y jabón abundantes.</t>
  </si>
  <si>
    <t>EN CASO DE CONTACTO CON LA PIEL (o el pelo):</t>
  </si>
  <si>
    <t>EN CASO DE CONTACTO CON LA PIEL (o el pelo): Quitarse inmediatamente las prendas contaminadas. Aclararse la piel con agua o ducharse.</t>
  </si>
  <si>
    <t>EN CASO DE INHALACIÓN:</t>
  </si>
  <si>
    <t>EN CASO DE INHALACIÓN: Transportar a la víctima al exterior y mantenerla en reposo en una posición confortable para respirar.</t>
  </si>
  <si>
    <t>EN CASO DE INHALACIÓN: Si respira con dificultad, transportar a la víctima al exterior y mantenerla en reposo en una posición confortable para respirar.</t>
  </si>
  <si>
    <t>EN CASO DE CONTACTO CON LOS OJOS:</t>
  </si>
  <si>
    <t>EN CASO DE CONTACTO CON LOS OJOS: Aclarar cuidadosamente con agua durante varios minutos. Quitar las lentes de contacto, si lleva y resulta fácil. Seguir aclarando.</t>
  </si>
  <si>
    <t>EN CASO DE CONTACTO CON LA ROPA:</t>
  </si>
  <si>
    <t>EN CASO DE CONTACTO CON LA ROPA: Aclarar inmediatamente con agua abundante las prendas y la piel contaminadas antes de quitarse la ropa.</t>
  </si>
  <si>
    <t>EN CASO DE exposición:</t>
  </si>
  <si>
    <t>EN CASO DE exposición: Llamar a un CENTRO DE INFORMACIÓN TOXICOLÓGICA o a un médico.</t>
  </si>
  <si>
    <t>EN CASO DE exposición manifiesta o presunta:</t>
  </si>
  <si>
    <t>EN CASO DE exposición manifiesta o presunta: Consultar a un médico.</t>
  </si>
  <si>
    <t>EN CASO DE exposición o malestar:</t>
  </si>
  <si>
    <t>EN CASO DE exposición o si se encuentra mal: Llamar a un CENTRO DE INFORMACIÓN TOXICOLÓGICA o a un médico.</t>
  </si>
  <si>
    <t>Llamar inmediatamente a un CENTRO DE INFORMACION TOXICOLOGICA o a un médico.</t>
  </si>
  <si>
    <t>Llamar a un CENTRO DE INFORMACION TOXICOLOGICA o a un médico.</t>
  </si>
  <si>
    <t>Llamar a un CENTRO DE INFORMACION TOXICOLOGICA o a un médico en caso de malestar.</t>
  </si>
  <si>
    <t>Consultar a un médico.</t>
  </si>
  <si>
    <t>Consultar a un médico en caso de malestar.</t>
  </si>
  <si>
    <t>Consultar a un médico inmediatamente.</t>
  </si>
  <si>
    <t>Se necesita urgentemente un tratamiento específico (ver … en esta etiqueta).</t>
  </si>
  <si>
    <t>Se necesitan medidas específicas (ver … en esta etiqueta).</t>
  </si>
  <si>
    <t>Enjuagarse la boca.</t>
  </si>
  <si>
    <t>NO provocar el vómito.</t>
  </si>
  <si>
    <t>En caso de irritación cutánea:</t>
  </si>
  <si>
    <t>En caso de irritación cutánea: Consultar a un médico.</t>
  </si>
  <si>
    <t>En caso de irritación o erupción cutánea:</t>
  </si>
  <si>
    <t>En caso de irritación o erupción cutánea: Consultar a un médico.</t>
  </si>
  <si>
    <t>Sumergir en agua fresca/aplicar compresas húmedas.</t>
  </si>
  <si>
    <t>Sacudir las partículas que se hayan depositado en la piel.</t>
  </si>
  <si>
    <t>Sacudir las partículas que se hayan depositado en la piel. Sumergir en agua fresca/aplicar compresas húmedas.</t>
  </si>
  <si>
    <t>Descongelar las partes heladas con agua tibia. No frotar la zona afectada.</t>
  </si>
  <si>
    <t>Si persiste la irritación ocular:</t>
  </si>
  <si>
    <t>Si persiste la irritación ocular: Consultar a un médico.</t>
  </si>
  <si>
    <t>Quitar las lentes de contacto, si lleva y resulta fácil. Seguir aclarando.</t>
  </si>
  <si>
    <t>Transportar a la víctima al exterior y mantenerla en reposo en una posición confortable para respirar.</t>
  </si>
  <si>
    <t>Si respira con dificultad, transportar a la víctima al exterior y mantenerla en reposo en una posición confortable para respirar.</t>
  </si>
  <si>
    <t>En caso de síntomas respiratorios:</t>
  </si>
  <si>
    <t>En caso de síntomas respiratorios: Llamar a un CENTRO DE INFORMACIÓN TOXICOLÓGICA o a un médico.</t>
  </si>
  <si>
    <t>Lavar suavemente con agua y jabón abundantes.</t>
  </si>
  <si>
    <t>Aclarar cuidadosamente con agua durante varios minutos.</t>
  </si>
  <si>
    <t>Lavar con agua y jabón abundantes.</t>
  </si>
  <si>
    <t>Aclararse la piel con agua/ducharse.</t>
  </si>
  <si>
    <t>Aclarar inmediatamente con agua abundante las prendas y la piel contaminadas antes de quitarse la ropa.</t>
  </si>
  <si>
    <t>Quitarse inmediatamente las prendas contaminadas.</t>
  </si>
  <si>
    <t>Quitarse las prendas contaminadas y lavarlas antes de volver a usarlas.</t>
  </si>
  <si>
    <t>Lavar las prendas contaminadas antes de volver a usarlas.</t>
  </si>
  <si>
    <t>En caso de incendio:</t>
  </si>
  <si>
    <t>En caso de incendio: Detener la fuga, si no hay peligro en hacerlo.</t>
  </si>
  <si>
    <t>En caso de incendio: Evacuar la zona.</t>
  </si>
  <si>
    <t>En caso de incendio: Evacuar la zona. Luchar contra el incendio a distancia, dado el riesgo de explosión.</t>
  </si>
  <si>
    <t>En caso de incendio importante y en grandes cantidades:</t>
  </si>
  <si>
    <t>En caso de incendio importante y en grandes cantidades: Evacuar la zona. Luchar contra el incendio a distancia, dado el riesgo de explosión.</t>
  </si>
  <si>
    <t>Riesgo de explosión en caso de incendio.</t>
  </si>
  <si>
    <t>NO luchar contra el incendio cuando el fuego llega a los explosivos.</t>
  </si>
  <si>
    <t>Luchar contra el incendio desde una distancia razonable, tomando las precauciones habituales.</t>
  </si>
  <si>
    <t>Luchar contra el incendio a distancia, dado el riesgo de explosión.</t>
  </si>
  <si>
    <t>Detener la fuga, si no hay peligro en hacerlo.</t>
  </si>
  <si>
    <t>Fuga de gas en llamas: No apagar, salvo si la fuga puede detenerse sin peligro.</t>
  </si>
  <si>
    <t>Utilizar … para apagarlo.</t>
  </si>
  <si>
    <t>Evacuar la zona.</t>
  </si>
  <si>
    <t>Eliminar todas las fuentes de ignición si no hay peligro en hacerlo.</t>
  </si>
  <si>
    <t>Absorber el vertido para que no dañe otros materiales.</t>
  </si>
  <si>
    <t>Recoger el vertido.</t>
  </si>
  <si>
    <t>Almacenar …</t>
  </si>
  <si>
    <t>Almacenar en un lugar seco.</t>
  </si>
  <si>
    <t>Almacenar en un lugar seco. Almacenar en un recipiente cerrado.</t>
  </si>
  <si>
    <t>Almacenar en un lugar bien ventilado.</t>
  </si>
  <si>
    <t>Almacenar en un lugar bien ventilado. Mantener el recipiente cerrado herméticamente.</t>
  </si>
  <si>
    <t>Almacenar en un lugar bien ventilado. Mantener en lugar fresco.</t>
  </si>
  <si>
    <t>Almacenar en un recipiente cerrado.</t>
  </si>
  <si>
    <t>Guardar bajo llave.</t>
  </si>
  <si>
    <t>Almacenar en un recipiente resistente a la corrosión / … con revestimiento interior resistente.</t>
  </si>
  <si>
    <t>Dejar una separación entre los bloques/los palés de carga.</t>
  </si>
  <si>
    <t>Proteger de la luz del sol.</t>
  </si>
  <si>
    <t>Proteger de la luz del sol. Almacenar en un lugar bien ventilado.</t>
  </si>
  <si>
    <t>Proteger de la luz del sol. No exponer a temperaturas superiores a 50°C / 122°F.</t>
  </si>
  <si>
    <t>Almacenar a temperaturas no superiores a …°C /…°F.</t>
  </si>
  <si>
    <t>Almacenar a temperaturas no superiores a …°C /…°F. Mantener en lugar fresco.</t>
  </si>
  <si>
    <t>No exponer a temperaturas superiores a 50°C / 122°F.</t>
  </si>
  <si>
    <t>Almacenar las cantidades a granel superiores a … kg /… lbs a temperaturas no superiores a …°C /…°F.</t>
  </si>
  <si>
    <t>Almacenar alejado de otros materiales.</t>
  </si>
  <si>
    <t>Almacenar el contenido en …</t>
  </si>
  <si>
    <t>Eliminar el contenido/el recipiente en …</t>
  </si>
  <si>
    <t>W razie konieczności zasięgnięcia porady lekarza należy pokazać pojemnik lub etykietę.</t>
  </si>
  <si>
    <t>Chronić przed dziećmi.</t>
  </si>
  <si>
    <t>Przed użyciem przeczytać etykietę.</t>
  </si>
  <si>
    <t>Przed użyciem zapoznać się ze specjalnymi środkami ostrożności.</t>
  </si>
  <si>
    <t>Nie używać przed zapoznaniem się i zrozumieniem wszystkich środków bezpieczeństwa.</t>
  </si>
  <si>
    <t>Przechowywać z dala od źródeł ciepła/iskrzenia/otwartego ognia/gorących powierzchni.  Palenie wzbronione.</t>
  </si>
  <si>
    <t>Nie rozpylać nad otwartym ogniem lub innym źródłem zapłonu.</t>
  </si>
  <si>
    <t>Trzymać/przechowywać z dala od odzieży/…/materiałów zapalnych.</t>
  </si>
  <si>
    <t>Zastosować wszelkie środki ostrożności w celu uniknięcia mieszania z innymi materiałami zapalnymi ...</t>
  </si>
  <si>
    <t>Nie dopuszczać do kontaktu z powietrzem.</t>
  </si>
  <si>
    <t>Chronić przed wszelkim kontaktem z wodą z powodu gwałtownej reakcji i możliwości wystąpienia błyskawicznego pożaru.</t>
  </si>
  <si>
    <t>Przechowywać produkt zwilżony….</t>
  </si>
  <si>
    <t>Używać w atmosferze obojętnego gazu.</t>
  </si>
  <si>
    <t>Używać w atmosferze obojętnego gazu Chronić przed wilgocią.</t>
  </si>
  <si>
    <t>Chronić przed wilgocią.</t>
  </si>
  <si>
    <t>Przechowywać pojemnik szczelnie zamknięty.</t>
  </si>
  <si>
    <t>Przechowywać wyłącznie w oryginalnym pojemniku.</t>
  </si>
  <si>
    <t>Przechowywać w chłodnym miejscu.</t>
  </si>
  <si>
    <t>Przechowywać w chłodnym miejscu. Chronić przed światłem słonecznym.</t>
  </si>
  <si>
    <t>Uziemić/połączyć pojemnik i sprzęt odbiorczy.</t>
  </si>
  <si>
    <t>Używać elektrycznego/wentylującego/oświetleniowego/…/. przeciwwybuchowego sprzętu.</t>
  </si>
  <si>
    <t>Używać wyłącznie nieiskrzących narzędzi.</t>
  </si>
  <si>
    <t>Przedsięwziąć środki ostrożności zapobiegające statycznemu rozładowaniu.</t>
  </si>
  <si>
    <t>Chronić zawory redukcyjne przed tłuszczem i olejem.</t>
  </si>
  <si>
    <t>Nie poddawać szlifowaniu/wstrząsom/…/tarciu.</t>
  </si>
  <si>
    <t>Pojemnik pod ciśnieniem. Nie przekłuwać ani nie spalać, nawet po zużyciu.</t>
  </si>
  <si>
    <t>Nie wdychać pyłu/dymu/gazu/mgły/par/rozpylonej cieczy.</t>
  </si>
  <si>
    <t>Unikać wdychania pyłu/dymu/gazu/mgły/par/rozpylonej cieczy.</t>
  </si>
  <si>
    <t>Nie wprowadzać do oczu, na skórę lub na odzież.</t>
  </si>
  <si>
    <t>Unikać kontaktu w czasie ciąży/karmienia piersią.</t>
  </si>
  <si>
    <t>Nie jeść, nie pić i nie palić podczas używania produktu.</t>
  </si>
  <si>
    <t>Stosować wyłącznie na zewnątrz lub w dobrze wentylowanym pomieszczeniu</t>
  </si>
  <si>
    <t>Zanieczyszczonej odzieży ochronnej nie wynosić poza miejsce pracy.</t>
  </si>
  <si>
    <t>Unikać uwolnienia do środowiska.</t>
  </si>
  <si>
    <t>Stosować rękawice ochronne/ odzież ochronną/ ochronę oczu /ochronę twarzy.</t>
  </si>
  <si>
    <t>Stosować wymagane środki ochrony indywidualnej.</t>
  </si>
  <si>
    <t>Nosić rękawice izolujące od zimna/maski na twarz/ochronę oczu.</t>
  </si>
  <si>
    <t>Nosić odzież ognioodporną/płomienioodporną/opóźniającą zapalenie.</t>
  </si>
  <si>
    <t>Stosować indywidualne środki ochrony dróg oddechowych.</t>
  </si>
  <si>
    <t>W przypadku niedostatecznej wentylacji stosować indywidualne środki ochrony dróg oddechowych.</t>
  </si>
  <si>
    <t>W PRZYPADKU POŁKNIĘCIA:</t>
  </si>
  <si>
    <t>W PRZYPADKU POŁKNIĘCIA: Natychmiast skontaktować się z OŚRODKIEM ZATRUĆ lub z lekarzem.</t>
  </si>
  <si>
    <t>W PRZYPADKU POŁKNIĘCIA: W przypadku złego samopoczucia skontaktować się z OŚRODKIEM ZATRUĆ lub z lekarzem.</t>
  </si>
  <si>
    <t>W PRZYPADKU POŁKNIĘCIA: wypłukać usta. NIE wywoływać wymiotów.</t>
  </si>
  <si>
    <t>W PRZYPADKU KONTAKTU ZE SKÓRĄ:</t>
  </si>
  <si>
    <t>W PRZYPADKU KONTAKTU ZE SKÓRĄ: Zanurzyć w zimnej wodzie/owinąć mokrym bandażem.</t>
  </si>
  <si>
    <t>W PRZYPADKU DOSTANIA SIĘ NA SKÓRĘ: Delikatnie umyć dużą iloścą wody z mydłem.</t>
  </si>
  <si>
    <t>W PRZYPADKU KONTAKTU ZE SKÓRĄ: Umyć dużą ilością wody z mydłem.</t>
  </si>
  <si>
    <t>W PRZYPADKU KONTAKTU ZE SKÓRĄ (lub z włosami):</t>
  </si>
  <si>
    <t>W PRZYPADKU KONTATKU ZE SKÓRĄ (lub z włosami): Natychmiast usunąć/zdjąć całą zanieczyszczoną odzież. Spłukać skórę pod strumieniem wody/prysznicem.</t>
  </si>
  <si>
    <t>W PRZYPADKU DOSTANIA SIĘ DO DRÓG ODDECHOWYCH:</t>
  </si>
  <si>
    <t>W PRZYPADKU DOSTANIA SIĘ DO OCZU:</t>
  </si>
  <si>
    <t>W PRZYPADKU DOSTANIA SIĘ DO OCZU: Ostrożnie płukać wodą przez kilka minut. Wyjąć soczewki kontaktowe, jeżeli są i można je łatwo usunąć. Nadal płukać.</t>
  </si>
  <si>
    <t>W PRZYPADKU KONTAKTU Z ODZIEŻĄ:</t>
  </si>
  <si>
    <t>W PRZYPADKU KONTAKTU Z ODZIEŻĄ: natychmiast spłukać zanieczyszczoną odzież i skórę dużą ilością wody przed zdjęciem odzieży.</t>
  </si>
  <si>
    <t>W PRZYPADKU narażenia:</t>
  </si>
  <si>
    <t>W przypadku narażenia: Skontaktować się z OŚRODKIEM ZATRUĆ lub z lekarzem.</t>
  </si>
  <si>
    <t>W PRZYPADKU narażenia lub styczności:</t>
  </si>
  <si>
    <t>W przypadku narażenia lub styczności: Zasięgnąć porady/zgłosić się pod opiekę lekarza.</t>
  </si>
  <si>
    <t>W PRZYPADKU narażenia lub złego samopoczucia:</t>
  </si>
  <si>
    <t>W przypadku narażenia lub złego samopoczucia: Skontaktować się z OŚRODKIEM ZATRUĆ lub z lekarzem.</t>
  </si>
  <si>
    <t>Natychmiast skontaktować się z OŚRODKIEM ZATRUĆ lub lekarzem.</t>
  </si>
  <si>
    <t>Skontaktować się z OŚRODKIEM ZATRUĆ lub lekarzem.</t>
  </si>
  <si>
    <t>W przypadku złego samopoczucia skontaktować się z OŚRODKIEM ZATRUĆ lub z lekarzem.</t>
  </si>
  <si>
    <t>Zasięgnąć porady/zgłosić się pod opiekę lekarza.</t>
  </si>
  <si>
    <t>W przypadku złego samopoczucia zasięgnąć porady/zgłosić się pod opiekę lekarza.</t>
  </si>
  <si>
    <t>Natychmiast zasięgnąć porady/zgłosić się pod opiekę lekarza.</t>
  </si>
  <si>
    <t>Środki szczególne (patrz … na etykiecie).</t>
  </si>
  <si>
    <t>Wypłukać usta.</t>
  </si>
  <si>
    <t>NIE wywoływać wymiotów.</t>
  </si>
  <si>
    <t>W przypadku wystąpienia podrażnienia skóry:</t>
  </si>
  <si>
    <t>W przypadku wystąpienia podrażnienia skóry: Zasięgnąć porady/zgłosić się pod opiekę lekarza.</t>
  </si>
  <si>
    <t>W przypadku wystąpienia podrażnienia skóry lub wysypki:</t>
  </si>
  <si>
    <t>W przypadku wystąpienia podrażnienia skóry lub wysypki: Zasięgnąć porady/zgłosić się pod opiekę lekarza.</t>
  </si>
  <si>
    <t>Zanurzyć w zimnej wodzie/owinąć mokrym bandażem.</t>
  </si>
  <si>
    <t>Nie związaną pozostałość strzepnąć ze skóry.</t>
  </si>
  <si>
    <t>Nie związaną pozostałość strzepnąć ze skóry. Zanurzyć w zimnej wodzie/owinąć mokrym bandażem.</t>
  </si>
  <si>
    <t>Rozmrozić oszronione obszary letnią wodą. Nie trzeć oszronionego obszaru.</t>
  </si>
  <si>
    <t>W przypadku utrzymywania się działania drażniącego na oczy:</t>
  </si>
  <si>
    <t>W przypadku utrzymywania się działania drażniącego na oczy: Zasięgnąć porady/zgłosić się pod opiekę lekarza.</t>
  </si>
  <si>
    <t>Wyjąć soczewki kontaktowe, jeżeli są i można je łatwo usunąć. Nadal płukać.</t>
  </si>
  <si>
    <t>Wyprowadzić lub wynieść poszkodowanego na świeże powietrze i zapewnić warunki do odpoczynku w pozycji umożliwiającej swobodne oddychanie.</t>
  </si>
  <si>
    <t>W przypadku wystąpienia objawów ze strony układu oddechowego:</t>
  </si>
  <si>
    <t>W przypadku wystąpienia objawów ze strony układu oddechowego: Skontaktować się z OŚRODKIEM ZATRUĆ lub z lekarzem.</t>
  </si>
  <si>
    <t>Delikatnie umyć dużą ilością wody z mydłem.</t>
  </si>
  <si>
    <t>Ostrożnie płukać wodą przez kilka minut.</t>
  </si>
  <si>
    <t>Umyć dużą ilością wody z mydłem.</t>
  </si>
  <si>
    <t>Spłukać skórę pod strumieniem wody/prysznicem.</t>
  </si>
  <si>
    <t>Natychmiast spłukać zanieczyszczoną odzież i skórę dużą ilością wody przed zdjęciem odzieży.</t>
  </si>
  <si>
    <t>Natychmiast usunąć/zdjąć całą zanieczyszczoną odzież.</t>
  </si>
  <si>
    <t>Zanieczyszczoną odzież zdjąć i wyprać przed ponownym użyciem.</t>
  </si>
  <si>
    <t>Wyprać zanieczyszczoną odzież przed ponownym użyciem.</t>
  </si>
  <si>
    <t>W przypadku pożaru:</t>
  </si>
  <si>
    <t>W przypadku pożaru: Jeżeli jest to bezpieczne zahamować wyciek.</t>
  </si>
  <si>
    <t>W przypadku pożaru: Ewakuować teren.</t>
  </si>
  <si>
    <t>W przypadku pożaru: Ewakuować teren. Z powodu ryzyka wybuchu gasić pożar z odległości.</t>
  </si>
  <si>
    <t>W przypadku poważnego pożaru i dużych ilości:</t>
  </si>
  <si>
    <t>W przypadku poważnego pożaru i dużych ilości: Ewakuować teren. Z powodu ryzyka wybuchu gasić pożar z odległości.</t>
  </si>
  <si>
    <t>Ryzyko wybuchu w razie pożaru.</t>
  </si>
  <si>
    <t>NIE gasić pożaru, jeżeli ogień dosięgnie materiały wybuchowe</t>
  </si>
  <si>
    <t>Gasić pożar z rozsądnej odległości z zachowaniem zwykłych środków ostrożności.</t>
  </si>
  <si>
    <t>Z powodu ryzyka wybuchu gasić pożar z odległości.</t>
  </si>
  <si>
    <t>Jeżeli jest to bezpieczne zahamować wyciek.</t>
  </si>
  <si>
    <t>W przypadku płonięcia wyciekającego gazu: Nie gasić, jeżeli nie można bezpiecznie zahamować wycieku.</t>
  </si>
  <si>
    <t>Użyć … do gaszenia.</t>
  </si>
  <si>
    <t>Ewakuować teren.</t>
  </si>
  <si>
    <t>Wyeliminować wszystkie źródła zapłonu, jeżeli jest to bezpieczne.</t>
  </si>
  <si>
    <t>Usunąć wyciek, aby zapobiec szkodom materialnym.</t>
  </si>
  <si>
    <t>Zebrać wyciek.</t>
  </si>
  <si>
    <t>Przechowywać …</t>
  </si>
  <si>
    <t>Przechowywać w suchym miejscu.</t>
  </si>
  <si>
    <t>Przechowywać w suchym miejscu. Przechowywać w zamkniętym pojemniku.</t>
  </si>
  <si>
    <t>Przechowywać w dobrze wentylowanym miejscu.</t>
  </si>
  <si>
    <t>Przechowywać w dobrze wentylowanym miejscu. Przechowywać pojemnik szczelnie zamknięty.</t>
  </si>
  <si>
    <t>Przechowywać w dobrze wentylowanym miejscu. Przechowywać w chłodnym miejscu.</t>
  </si>
  <si>
    <t>Przechowywać w zamkniętym pojemniku.</t>
  </si>
  <si>
    <t>Przechowywać pod zamknięciem.</t>
  </si>
  <si>
    <t>Przechowywać w pojemniku odpornym na korozję /… o odpornej powłoce wewnętrznej.</t>
  </si>
  <si>
    <t>Zachować szczelinę powietrzną pomiędzy stosami/paletami.</t>
  </si>
  <si>
    <t>Chronić przed światłem słonecznym.</t>
  </si>
  <si>
    <t>Chronić przed światłem słonecznym. Przechowywać w dobrze wentylowanym miejscu.</t>
  </si>
  <si>
    <t>Chronić przed światłem słonecznym. Nie wystawiać na działanie temperatury przekraczającej 50 °C/122 °F.</t>
  </si>
  <si>
    <t>Przechowywać w temperaturze nieprzekraczającej …°C/…°F.</t>
  </si>
  <si>
    <t>Przechowywać w temperaturze nieprzekraczającej …°C/…°F. Przechowywać w chłodnym miejscu.</t>
  </si>
  <si>
    <t>Nie wystawiać na działanie temperatury przekraczającej 50 °C/122 °F.</t>
  </si>
  <si>
    <t>Przechowywać luzem masy przekraczające … kg/… funtów w temperaturze nieprzekraczającej …°C/…°F.</t>
  </si>
  <si>
    <t>Przechowywać z dala od innych materiałów.</t>
  </si>
  <si>
    <t>Zawartość przechowywać w …</t>
  </si>
  <si>
    <t>Zawartość/pojemnik usuwać do …</t>
  </si>
  <si>
    <r>
      <t>W PRZYPADKU DOSTANIA SIĘ DO DRÓG ODDECHOWYCH: wyprowadzić lub wynieść poszkodowanego na świeże powietrze i zapewnić warunki do odpoczynku w pozycji umożliwiającej swobodne oddychanie</t>
    </r>
    <r>
      <rPr>
        <b/>
        <sz val="11"/>
        <rFont val="Calibri"/>
        <family val="2"/>
        <scheme val="minor"/>
      </rPr>
      <t>.</t>
    </r>
  </si>
  <si>
    <r>
      <t>W PRZYPADKU DOSTANIA SIĘ DO DRÓG ODDECHOWYCH: W przypadku trudności z oddychaniem, wyprowadzić lub wynieść poszkodowanego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 świeże powietrze i zapewnić warunki do odpoczynku w pozycji umożliwiającej swobodne oddychanie.</t>
    </r>
  </si>
  <si>
    <r>
      <t>Pilnie zastosować określone leczenie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(patrz … na etykiecie).</t>
    </r>
  </si>
  <si>
    <r>
      <t>W przypadku trudności z oddychaniem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 xml:space="preserve">wyprowadzić lub wynieść poszkodowanego na świeże powietrze i zapewnić warunki do odpoczynku w pozycji umożliwiającej swobodne oddychanie. </t>
    </r>
  </si>
  <si>
    <t>Je-li nutná lékařská pomoc, mějte po ruce obal nebo štítek výrobku.</t>
  </si>
  <si>
    <t>Uchovávejte mimo dosah dětí.</t>
  </si>
  <si>
    <t>Před použitím si přečtěte údaje na štítku.</t>
  </si>
  <si>
    <t>Před použitím si obstarejte speciální instrukce.</t>
  </si>
  <si>
    <t>Nepoužívejte, dokud jste si nepřečetli všechny bezpečnostní pokyny a neporozuměli jim.</t>
  </si>
  <si>
    <t>Chraňte před teplem/jiskrami/otevřeným plamenem/horkými povrchy. – Zákaz kouření.</t>
  </si>
  <si>
    <t>Nestříkejte do otevřeného ohně nebo jiných zdrojů zapálení.</t>
  </si>
  <si>
    <t>Uchovávejte/skladujte odděleně od oděvů /.../hořlavých materiálů.</t>
  </si>
  <si>
    <t>Proveďte preventivní opatření proti smíchání s hořlavými materiály...</t>
  </si>
  <si>
    <t>Zabraňte styku se vzduchem.</t>
  </si>
  <si>
    <t>Chraňte před možným stykem s vodou kvůli prudké reakci a možnému náhlému vzplanutí.</t>
  </si>
  <si>
    <t>Uchovávejte ve zvlhčeném stavu ...</t>
  </si>
  <si>
    <t>Manipulace pod inertním plynem.</t>
  </si>
  <si>
    <t>Manipulace pod inertním plynem. Chraňte před vlhkem.</t>
  </si>
  <si>
    <t>Chraňte před vlhkem.</t>
  </si>
  <si>
    <t>Uchovávejte obal těsně uzavřený.</t>
  </si>
  <si>
    <t>Uchovávejte pouze v původním obalu.</t>
  </si>
  <si>
    <t>Uchovávejte v chladu.</t>
  </si>
  <si>
    <t>Uchovávejte v chladu. Chraňte před slunečním zářením.</t>
  </si>
  <si>
    <t>Uzemněte obal a odběrové zařízení.</t>
  </si>
  <si>
    <t>Používejte elektrické/ventilační/osvětlovací/…/ zařízení do výbušného prostředí.</t>
  </si>
  <si>
    <t>Používejte pouze nářadí z nejiskřícího kovu.</t>
  </si>
  <si>
    <t>Proveďte preventivní opatření proti výbojům statické elektřiny.</t>
  </si>
  <si>
    <t>Udržujte redukční ventily bez maziva a oleje.</t>
  </si>
  <si>
    <t>Nevystavujte obrušování/nárazům/…/tření.</t>
  </si>
  <si>
    <t>Tlakový obal: nepropichujte nebo nespalujte ani po použití.</t>
  </si>
  <si>
    <t>Nevdechujte prach/dým/plyn/mlhu/páry/aerosoly.</t>
  </si>
  <si>
    <t>Zamezte vdechování prachu/dýmu/plynu/mlhy/par/aerosolů.</t>
  </si>
  <si>
    <t>Zabraňte styku s očima, kůží nebo oděvem.</t>
  </si>
  <si>
    <t>Zabraňte styku během těhotenství/kojení.</t>
  </si>
  <si>
    <t>Při používání tohoto výrobku nejezte, nepijte ani nekuřte.</t>
  </si>
  <si>
    <t>Používejte pouze venku nebo v dobře větraných prostorách.</t>
  </si>
  <si>
    <t>Kontaminovaný pracovní oděv neodnášejte z pracoviště.</t>
  </si>
  <si>
    <t>Zabraňte uvolnění do životního prostředí.</t>
  </si>
  <si>
    <t>Používejte ochranné rukavice/ochranný oděv/ochranné brýle/obličejový štít.</t>
  </si>
  <si>
    <t>Používejte požadované osobní ochranné prostředky.</t>
  </si>
  <si>
    <t>Používejte ochranné rukavice proti chladu/obličejový štít/ochranné brýle.</t>
  </si>
  <si>
    <t>Používejte ohnivzdorný/nehořlavý oděv.</t>
  </si>
  <si>
    <t>Používejte vybavení pro ochranu dýchacích cest.</t>
  </si>
  <si>
    <t>V případě nedostatečného větrání používejte vybavení pro ochranu dýchacích cest.</t>
  </si>
  <si>
    <t>PŘI POŽITÍ:</t>
  </si>
  <si>
    <t>PŘI POŽITÍ: Okamžitě volejte TOXIKOLOGICKÉ INFORMAČNÍ STŘEDISKO nebo lékaře.</t>
  </si>
  <si>
    <t>PŘI POŽITÍ: Necítíte-li se dobře, volejte TOXIKOLOGICKÉ INFORMAČNÍ STŘEDISKO nebo lékaře.</t>
  </si>
  <si>
    <t>PŘI POŽITÍ: Vypláchněte ústa. NEVYVOLÁVEJTE zvracení.</t>
  </si>
  <si>
    <t>PŘI STYKU S KŮŽÍ:</t>
  </si>
  <si>
    <t>PŘI STYKU S KŮŽÍ: Ponořte do studené vody/zabalte do vlhkého obvazu.</t>
  </si>
  <si>
    <t>PŘI STYKU S KŮŽÍ: Jemně omyjte velkým množstvím vody a mýdla.</t>
  </si>
  <si>
    <t>PŘI STYKU S KŮŽÍ: Omyjte velkým množstvím vody a mýdla.</t>
  </si>
  <si>
    <t>PŘI STYKU S KŮŽÍ (nebo s vlasy):</t>
  </si>
  <si>
    <t>PŘI STYKU S KŮŽÍ (nebo s vlasy): Veškeré kontaminované části oděvu okamžitě svlékněte. Opláchněte kůži vodou/osprchujte.</t>
  </si>
  <si>
    <t>PŘI VDECHNUTÍ:</t>
  </si>
  <si>
    <t>PŘI VDECHNUTÍ: Přeneste postiženého na čerstvý vzduch a ponechte jej v klidu v poloze usnadňující dýchání.</t>
  </si>
  <si>
    <t>PŘI VDECHNUTÍ: Při obtížném dýchání přeneste postiženého na čerstvý vzduch a ponechte jej v klidu v poloze usnadňující dýchání.</t>
  </si>
  <si>
    <t>PŘI ZASAŽENÍ OČÍ:</t>
  </si>
  <si>
    <t>PŘI ZASAŽENÍ OČÍ: Několik minut opatrně vyplachujte vodou. Vyjměte kontaktní čočky, jsou-li nasazeny a pokud je lze vyjmout snadno. Pokračujte ve vyplachování.</t>
  </si>
  <si>
    <t>PŘI STYKU S ODĚVEM:</t>
  </si>
  <si>
    <t>PŘI STYKU S ODĚVEM: Kontaminovaný oděv a kůži oklamžitě omyjte velkým množstvím vody a potom oděv odložte.</t>
  </si>
  <si>
    <t>PŘI expozici:</t>
  </si>
  <si>
    <t>PŘI expozici: Volejte TOXIKOLOGICKÉ INFORMAČNÍ STŘEDISKO nebo lékaře.</t>
  </si>
  <si>
    <t>PŘI expozici nebo podezření na ni:</t>
  </si>
  <si>
    <t>PŘI expozici nebo podezření na ni: Vyhledejte lékařskou pomoc/ošetření.</t>
  </si>
  <si>
    <t>PŘI expozici nebo necítíte-li se dobře:</t>
  </si>
  <si>
    <t>PŘI expozici nebo necítíte-li se dobře: Volejte TOXIKOLOGICKÉ INFORMAČNÍ STŘEDISKO nebo lékaře.</t>
  </si>
  <si>
    <t>Okamžitě volejte TOXIKOLOGICKÉ INFORMAČNÍ STŘEDISKO nebo lékaře.</t>
  </si>
  <si>
    <t>Volejte TOXIKOLOGICKÉ INFORMAČNÍ STŘEDISKO nebo lékaře.</t>
  </si>
  <si>
    <t>Necítíte-li se dobře, volejte TOXIKOLOGICKÉ INFORMAČNÍ STŘEDISKO nebo lékaře.</t>
  </si>
  <si>
    <t>Vyhledejte lékařskou pomoc/ošetření.</t>
  </si>
  <si>
    <t>Necítíte-li se dobře, vyhledejte lékařskou pomoc/ošetření.</t>
  </si>
  <si>
    <t>Okamžitě vyhledejte lékařskou pomoc/ošetření.</t>
  </si>
  <si>
    <t>Je nutné odborné ošetření (viz … na tomto štítku).</t>
  </si>
  <si>
    <t>Specifické opatření (viz ... na tomto štítku).</t>
  </si>
  <si>
    <t>Vypláchněte ústa.</t>
  </si>
  <si>
    <t>NEVYVOLÁVEJTE zvracení.</t>
  </si>
  <si>
    <t>Při podráždění kůže:</t>
  </si>
  <si>
    <t>Při podráždění kůže: Vyhledejte lékařskou pomoc/ošetření.</t>
  </si>
  <si>
    <t>Při podráždění kůže nebo vyrážce:</t>
  </si>
  <si>
    <t>Ponořte do studené vody/zabalte do vlhkého obvazu.</t>
  </si>
  <si>
    <t>Volné částice odstraňte z kůže.</t>
  </si>
  <si>
    <t>Volné částice odstraňte z kůže. Ponořte do studené vody/zabalte do vlhkého obvazu.</t>
  </si>
  <si>
    <t>Omrzlá místa ošetřete vlažnou vodou. Postižené místo netřete.</t>
  </si>
  <si>
    <t>Přetrvává-li podráždění očí:</t>
  </si>
  <si>
    <t>Přetrvává-li podráždění očí: Vyhledejte lékařskou pomoc/ošetření.</t>
  </si>
  <si>
    <t>Vyjměte kontaktní čočky, jsou-li nasazeny a pokud je lze vyjmout snadno. Pokračujte ve vyplachování.</t>
  </si>
  <si>
    <t>Přeneste postiženého na čerstvý vzduch a ponechte jej v klidu v poloze usnadňující dýchání.</t>
  </si>
  <si>
    <t>Při obtížném dýchání přeneste postiženého na čerstvý vzduch a ponechte jej v klidu v poloze usnadňující dýchání.</t>
  </si>
  <si>
    <t>Při dýchacích potížích:</t>
  </si>
  <si>
    <t>Při dýchacích potížích: Volejte TOXIKOLOGICKÉ INFORMAČNÍ STŘEDISKO nebo lékaře.</t>
  </si>
  <si>
    <t>Jemně omyjte velkým množstvím vody a mýdla.</t>
  </si>
  <si>
    <t>Několik minut opatrně oplachujte vodou.</t>
  </si>
  <si>
    <t>Omyjte velkým množstvím vody a mýdla.</t>
  </si>
  <si>
    <t>Opláchněte kůži vodou/osprchujte.</t>
  </si>
  <si>
    <t>Kontaminovaný oděv a kůži okamžitě omyjte velkým množstvím vody a potom oděv odložte.</t>
  </si>
  <si>
    <t>Veškeré kontaminované části oděvu okamžitě svlékněte.</t>
  </si>
  <si>
    <t>Kontaminovaný oděv svlékněte a před opětovným použitím ho vyperte.</t>
  </si>
  <si>
    <t>Kontaminovaný oděv před opětovným použitím vyperte.</t>
  </si>
  <si>
    <t>V případě požáru:</t>
  </si>
  <si>
    <t>V případě požáru: Zastavte únik, můžete-li tak učinit bez rizika.</t>
  </si>
  <si>
    <t>V případě požáru: Vykliďte prostor.</t>
  </si>
  <si>
    <t>V případě požáru: Vykliďte prostor. Kvůli nebezpečí výbuchu haste z dostatečné vzdálenosti.</t>
  </si>
  <si>
    <t>V případě velkého požáru a velkého množství:</t>
  </si>
  <si>
    <t>V případě velkého požáru a velkého množství: Vykliďte prostor. Kvůli nebezpečí výbuchu haste z dostatečné vzdálenosti.</t>
  </si>
  <si>
    <t>Nebezpečí výbuchu v případě požáru.</t>
  </si>
  <si>
    <t>Požár NEHASTE, dostane-li se k výbušninám.</t>
  </si>
  <si>
    <t>Haste z přiměřené vzdálenosti a dodržujte běžná opatření.</t>
  </si>
  <si>
    <t>Kvůli nebezpečí výbuchu haste z dostatečné vzdálenosti.</t>
  </si>
  <si>
    <t>Zastavte únik, můžete-li tak učinit bez rizika.</t>
  </si>
  <si>
    <t>Požár unikajícího plynu: Nehaste, nelze-li únik bezpečně zastavit.</t>
  </si>
  <si>
    <t>K hašení použijte ….</t>
  </si>
  <si>
    <t>Vykliďte roctor.</t>
  </si>
  <si>
    <t>Odstraňte všechny zdroje zapálení, můžete-li tak učinit bez rizika.</t>
  </si>
  <si>
    <t>Uniklý produkt absorbujte, aby se zabránilo materiálním škodám.</t>
  </si>
  <si>
    <t>Uniklý produkt seberte.</t>
  </si>
  <si>
    <t xml:space="preserve">Skladujte … </t>
  </si>
  <si>
    <t>Skladujte na suchém místě.</t>
  </si>
  <si>
    <t>Skladujte na suchém místě. Skladujte v uzavřeném obalu.</t>
  </si>
  <si>
    <t>Skladujte na dobře větraném místě.</t>
  </si>
  <si>
    <t>Skladujte na dobře větraném místě. Uchovávejte obal těsně uzavřený.</t>
  </si>
  <si>
    <t>Skladujte na dobře větraném místě. Uchovávejte v chladu.</t>
  </si>
  <si>
    <t>Skladujte v uzavřeném obalu.</t>
  </si>
  <si>
    <t>Skladujte uzamčené.</t>
  </si>
  <si>
    <t>Skladujte v obalu odolném proti korozi/ ... obalu s odolnou vnitřní vrstvou.</t>
  </si>
  <si>
    <t>Mezi stohy/paletami ponechte vzduchovou mezeru.</t>
  </si>
  <si>
    <t>Chraňte před slunečním zářením.</t>
  </si>
  <si>
    <t>Chraňte před slunečním zářením. Skladujte na dobře větraném místě.</t>
  </si>
  <si>
    <t>Chraňte před slunečním zářením. Nevystavujte teplotě přesahující 50°C/ 122°F.</t>
  </si>
  <si>
    <t>Skladujte při teplotě nepřesahující …°C/…°F.</t>
  </si>
  <si>
    <t>Skladujte při teplotě nepřesahující …°C/…°F. Uchovávejte v chladu.</t>
  </si>
  <si>
    <t>Nevystavujte teplotě přesahující 50 °C/ 122 °F.</t>
  </si>
  <si>
    <t>Množství větší než … kg/… liber skladujte při teplotě nepřesahující …°C/…°F.</t>
  </si>
  <si>
    <t>Skladujte odděleně od ostatních materiálů.</t>
  </si>
  <si>
    <t>Skladujte pod …</t>
  </si>
  <si>
    <t>Odstraňte obsah/obal ...</t>
  </si>
  <si>
    <r>
      <t>Při podráždění kůže nebo vyrážce: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Vyhledejte lékařskou pomoc/ošetření.</t>
    </r>
  </si>
  <si>
    <t>Výbušný v suchém stavu.</t>
  </si>
  <si>
    <t>Výbušný za přístupu i bez přístupu vzduchu.</t>
  </si>
  <si>
    <t>Prudce reaguje s vodou.</t>
  </si>
  <si>
    <t>Při používání může vytvářet hořlavé nebo výbušné směsi par se vzduchem.</t>
  </si>
  <si>
    <t>Může vytvářet výbušné peroxidy.</t>
  </si>
  <si>
    <t>Uvolňuje toxický plyn při styku s vodou.</t>
  </si>
  <si>
    <t>Uvolňuje toxický plyn při styku s kyselinami.</t>
  </si>
  <si>
    <t>Uvolňuje vysoce toxický plyn při styku s kyselinami.</t>
  </si>
  <si>
    <t>Nebezpečí výbuchu při zahřátí v uzavřeném obalu.</t>
  </si>
  <si>
    <t>Opakovaná expozice může způsobit vysušení nebo popraskání kůže</t>
  </si>
  <si>
    <t>Toxický při styku s očima.</t>
  </si>
  <si>
    <t>Leptá dýchací orgány.</t>
  </si>
  <si>
    <t>Obsahuje olovo. Nemá se používat na povrchy, které mohou okusovat nebo olizovat děti.</t>
  </si>
  <si>
    <t>Pozor! Obsahuje olovo.</t>
  </si>
  <si>
    <t>Kyanakrylát. Nebezpečí. Okamžitě lepí kůži a oči. Uchovávejte mimo dosah dětí.</t>
  </si>
  <si>
    <t>Obsahuje chrom (VI). Může vyvolat alergickou reakci.</t>
  </si>
  <si>
    <t xml:space="preserve">Obsahuje epoxidové složky. Může vyvolat alergickou reakci. </t>
  </si>
  <si>
    <t>Pozor! Nepoužívejte společně s jinými přípravky. Může uvolňovat nebezpečné plyny (chlor).</t>
  </si>
  <si>
    <t>Pozor! Obsahuje kadmium. Při použití vznikají nebezpečné výpary. Viz informace dodané výrobcem. Dodržujte bezpečnostní pokyny.</t>
  </si>
  <si>
    <t>Obsahuje &lt;název senzibilizující látky&gt;. Může vyvolat alergickou reakci.</t>
  </si>
  <si>
    <t xml:space="preserve">Při používání se může stát vysoce hořlavým. </t>
  </si>
  <si>
    <t>Při používání se může stát hořlavým.</t>
  </si>
  <si>
    <t>Na žádost je k°dispozici bezpečnostní list.</t>
  </si>
  <si>
    <t>Dodržujte pokyny pro používání, abyste se vyvarovali rizik pro lidské zdraví a životní prostředí.</t>
  </si>
  <si>
    <r>
      <t>Obsahuje isokyanáty. Může vyvolat alergickou reakci.</t>
    </r>
    <r>
      <rPr>
        <sz val="11"/>
        <color indexed="12"/>
        <rFont val="Calibri"/>
        <family val="2"/>
        <scheme val="minor"/>
      </rPr>
      <t xml:space="preserve"> </t>
    </r>
  </si>
  <si>
    <t>Nestabilní výbušnina.</t>
  </si>
  <si>
    <t>Výbušnina; nebezpečí hromadného výbuchu.</t>
  </si>
  <si>
    <t>Výbušnina; vážné nebezpečí rozletu.</t>
  </si>
  <si>
    <t>Výbušnina; nebezpečí požáru, tlakové vlny nebo rozletu.</t>
  </si>
  <si>
    <t>Nebezpečí požáru nebo rozletu.</t>
  </si>
  <si>
    <t>Při ohni může způsobit hromadný výbuch.</t>
  </si>
  <si>
    <t>Extrémně hořlavý plyn.</t>
  </si>
  <si>
    <t>Hořlavý plyn.</t>
  </si>
  <si>
    <t>Extrémně hořlavý aerosol.</t>
  </si>
  <si>
    <t>Hořlavý aerosol.</t>
  </si>
  <si>
    <t>Extrémně hořlavá kapalina a páry.</t>
  </si>
  <si>
    <t>Vysoce hořlavá kapalina a páry.</t>
  </si>
  <si>
    <t>Hořlavá kapalina a páry.</t>
  </si>
  <si>
    <t>Hořlavá tuhá látka.</t>
  </si>
  <si>
    <t>Zahřívání může způsobit výbuch.</t>
  </si>
  <si>
    <t>Zahřívání může způsobit požár nebo výbuch.</t>
  </si>
  <si>
    <t>Zahřívání může způsobit požár.</t>
  </si>
  <si>
    <t>Při styku se vzduchem se samovolně vzněcuje.</t>
  </si>
  <si>
    <t>Samovolně se zahřívá: může se vznítit.</t>
  </si>
  <si>
    <t>Ve velkém množství se samovolně zahřívá; může se vznítit.</t>
  </si>
  <si>
    <t>Při styku s vodou uvolňuje hořlavé plyny, které se mohou samovolně vzněcovat.</t>
  </si>
  <si>
    <t>Při styku s vodou uvolňuje hořlavé plyny.</t>
  </si>
  <si>
    <t>Může způsobit nebo zesílit požár; oxidant.</t>
  </si>
  <si>
    <t>Může způsobit požár nebo výbuch; silný oxidant.</t>
  </si>
  <si>
    <t>Může zesílit požár; oxidant.</t>
  </si>
  <si>
    <t>Obsahuje plyn pod tlakem; zahřívání může způsobit výbuch.</t>
  </si>
  <si>
    <t>Obsahuje zchlazený plyn; může způsobit popáleniny nebo poškození chladem.</t>
  </si>
  <si>
    <t>Může být žíravý pro kovy.</t>
  </si>
  <si>
    <t>Smrtelně nebezpečný při požití.</t>
  </si>
  <si>
    <t>Toxický při požití.</t>
  </si>
  <si>
    <t>Zdraví škodlivý při požití.</t>
  </si>
  <si>
    <t>Při požití a vniknutí do dýchacích cest může být smrtelně nebezpečný.</t>
  </si>
  <si>
    <t>Smrtelně nebezpečný při styku s kůží.</t>
  </si>
  <si>
    <t>Toxický při styku s kůží.</t>
  </si>
  <si>
    <t>Zdraví škodlivý při styku s kůží.</t>
  </si>
  <si>
    <t>Způsobuje těžké poleptání kůže a poškození očí.</t>
  </si>
  <si>
    <t>Dráždí kůži.</t>
  </si>
  <si>
    <t>Může způsobit alergickou kožní reakci.</t>
  </si>
  <si>
    <t>Způsobuje vážné poškození očí.</t>
  </si>
  <si>
    <t>Způsobuje vážné podráždění očí.</t>
  </si>
  <si>
    <t>Smrtelně nebezpečný při vdechování.</t>
  </si>
  <si>
    <t>Toxický při vdechování.</t>
  </si>
  <si>
    <t>Zdraví škodlivý při vdechování.</t>
  </si>
  <si>
    <t>Při vdechování může vyvolat příznaky alergie nebo astmatu nebo dýchací potíže.</t>
  </si>
  <si>
    <t>Může způsobit podráždění dýchacích orgánů.</t>
  </si>
  <si>
    <t>Může způsobit ospalost a závratě.</t>
  </si>
  <si>
    <t xml:space="preserve">Může vyvolat rakovinu při vdechování. </t>
  </si>
  <si>
    <t xml:space="preserve">Může poškodit plod v těle matky. </t>
  </si>
  <si>
    <t>Může poškodit plod v těle matky. Podezření na poškození reprodukční schopnosti.</t>
  </si>
  <si>
    <t xml:space="preserve">Může poškodit reprodukční schopnost. </t>
  </si>
  <si>
    <t xml:space="preserve">Může poškodit reprodukční schopnost. Může poškodit plod v těle matky. </t>
  </si>
  <si>
    <t xml:space="preserve">Může poškodit reprodukční schopnost. Podezření na poškození plodu v těle matky. </t>
  </si>
  <si>
    <t xml:space="preserve">Podezření na poškození plodu v těle matky. </t>
  </si>
  <si>
    <t xml:space="preserve">Podezření na poškození reprodukční schopnosti. </t>
  </si>
  <si>
    <t xml:space="preserve">Podezření na poškození reprodukční schopnosti. Podezření na poškození plodu v těle matky. </t>
  </si>
  <si>
    <t>Může poškodit kojené dítě.</t>
  </si>
  <si>
    <t>Vysoce toxický pro život ve vodách.</t>
  </si>
  <si>
    <t>Vysoce toxický pro život ve vodách s dlouhotrvajícími účinky.</t>
  </si>
  <si>
    <t>Toxický pro život ve vodách s dlouhotrvajícími účinky.</t>
  </si>
  <si>
    <t>Škodlivý pro život ve vodách s dlouhotrvajícími účinky.</t>
  </si>
  <si>
    <t>Může vyvolat dlouhotrvající škodlivé účinky pro život ve vodách.</t>
  </si>
  <si>
    <t>Poškozuje veřejné zdraví a životní prostředí tím, že ničí ozon ve svrchníchvrstvách atmosféry</t>
  </si>
  <si>
    <r>
      <t xml:space="preserve">Může vyvolat poškození dědičných vlastností </t>
    </r>
    <r>
      <rPr>
        <i/>
        <sz val="11"/>
        <rFont val="Calibri"/>
        <family val="2"/>
        <scheme val="minor"/>
      </rPr>
      <t>&lt;uveďte cestu expozice, je-li přesvědčivě prokázáno, že ostatní cesty expozice nejsou nebezpečné&gt;.</t>
    </r>
  </si>
  <si>
    <r>
      <t xml:space="preserve">Podezření na poškození dědičných vlastností </t>
    </r>
    <r>
      <rPr>
        <i/>
        <sz val="11"/>
        <rFont val="Calibri"/>
        <family val="2"/>
        <scheme val="minor"/>
      </rPr>
      <t>&lt;uveďte cestu expozice, je-li přesvědčivě prokázáno, že ostatní cesty expozice nejsou nebezpečné&gt;.</t>
    </r>
  </si>
  <si>
    <r>
      <t xml:space="preserve">Může vyvolat rakovinu </t>
    </r>
    <r>
      <rPr>
        <i/>
        <sz val="11"/>
        <rFont val="Calibri"/>
        <family val="2"/>
        <scheme val="minor"/>
      </rPr>
      <t>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</si>
  <si>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r>
      <t xml:space="preserve">Podezření na vyvolání rakoviny </t>
    </r>
    <r>
      <rPr>
        <i/>
        <sz val="11"/>
        <color theme="1"/>
        <rFont val="Calibri"/>
        <family val="2"/>
        <scheme val="minor"/>
      </rPr>
      <t>&lt;uveďte cestu expozice, je-li přesvědčivě prokázáno, že ostatní cesty expozice nejsou nebezpečné&gt;</t>
    </r>
    <r>
      <rPr>
        <sz val="11"/>
        <color theme="1"/>
        <rFont val="Calibri"/>
        <family val="2"/>
        <scheme val="minor"/>
      </rPr>
      <t>.</t>
    </r>
  </si>
  <si>
    <r>
      <t xml:space="preserve">Může poškodit reprodukční schopnost nebo plod v těle matky </t>
    </r>
    <r>
      <rPr>
        <i/>
        <sz val="11"/>
        <rFont val="Calibri"/>
        <family val="2"/>
        <scheme val="minor"/>
      </rPr>
      <t>&lt;uveďte specifický účinek, je-li znám&gt; 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</si>
  <si>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r>
      <t xml:space="preserve">Podezření na poškození reprodukční schopnosti nebo plodu v těle matky </t>
    </r>
    <r>
      <rPr>
        <i/>
        <sz val="11"/>
        <color theme="1"/>
        <rFont val="Calibri"/>
        <family val="2"/>
        <scheme val="minor"/>
      </rPr>
      <t>&lt;uveďte specifický účinek, je-li znám&gt; &lt;uveďte cestu expozice, je-li přesvědčivě prokázáno, že ostatní cesty expozice nejsou nebezpečné&gt;.</t>
    </r>
  </si>
  <si>
    <r>
      <t xml:space="preserve">Způsobuje poškození orgánů </t>
    </r>
    <r>
      <rPr>
        <i/>
        <sz val="11"/>
        <rFont val="Calibri"/>
        <family val="2"/>
        <scheme val="minor"/>
      </rPr>
      <t>&lt;nebo uvést všechny postižené orgány, jsou-li známy&gt; 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</si>
  <si>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r>
      <t xml:space="preserve">Může způsobit poškození orgánů </t>
    </r>
    <r>
      <rPr>
        <i/>
        <sz val="11"/>
        <rFont val="Calibri"/>
        <family val="2"/>
        <scheme val="minor"/>
      </rPr>
      <t>&lt;nebo uvést všechny postižené orgány, jsou-li známy&gt; 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</si>
  <si>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r>
      <t xml:space="preserve">Při prodloužené nebo opakované expozici způsobuje poškození orgánů </t>
    </r>
    <r>
      <rPr>
        <i/>
        <sz val="11"/>
        <rFont val="Calibri"/>
        <family val="2"/>
        <scheme val="minor"/>
      </rPr>
      <t>&lt;nebo uvést všechny postižené orgány, jsou-li známy&gt;&lt;uveďte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</si>
  <si>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r>
      <t xml:space="preserve">Při prodloužené nebo opakované expozici může způsobit poškození orgánů </t>
    </r>
    <r>
      <rPr>
        <i/>
        <sz val="11"/>
        <rFont val="Calibri"/>
        <family val="2"/>
        <scheme val="minor"/>
      </rPr>
      <t>&lt;nebo uvést všechny postižené orgány, jsou-li známy&gt;&lt;uveďte cestu expozice, je-li přesvědčivě prokázáno, že ostatní cesty expozice nejsou nebezpečné&gt;</t>
    </r>
    <r>
      <rPr>
        <sz val="11"/>
        <rFont val="Calibri"/>
        <family val="2"/>
        <scheme val="minor"/>
      </rPr>
      <t>.</t>
    </r>
  </si>
  <si>
    <t>Language:</t>
  </si>
  <si>
    <t>P371 + P380+P375</t>
  </si>
  <si>
    <t>Wash hands thoroughly after handling.</t>
  </si>
  <si>
    <t>Se laver les mains soigneusement après manipulation.</t>
  </si>
  <si>
    <t>Na het werken met dit product handen grondig wassen.</t>
  </si>
  <si>
    <t>Lavare accuratamente mani dopo l’uso.</t>
  </si>
  <si>
    <t>Lavarse manos concienzudamente tras la manipulación.</t>
  </si>
  <si>
    <t>Dokładnie umyć ręce po użyciu.</t>
  </si>
  <si>
    <t>Po manipulaci důkladně omyjte ručičky</t>
  </si>
  <si>
    <t>vluchtig vloeistof of damp/gas?</t>
  </si>
  <si>
    <t>vluchtig vloestof en poeder of damp/gas?</t>
  </si>
  <si>
    <t>vluchtig poeder?</t>
  </si>
  <si>
    <t>HP1</t>
  </si>
  <si>
    <t>HP2</t>
  </si>
  <si>
    <t>HP3</t>
  </si>
  <si>
    <t>HP4</t>
  </si>
  <si>
    <t>HP5</t>
  </si>
  <si>
    <t>HP6</t>
  </si>
  <si>
    <t>HP7</t>
  </si>
  <si>
    <t>HP4 or HP8</t>
  </si>
  <si>
    <t>HP10</t>
  </si>
  <si>
    <t>HP11</t>
  </si>
  <si>
    <t>HP12</t>
  </si>
  <si>
    <t>HP13</t>
  </si>
  <si>
    <t>HP14</t>
  </si>
  <si>
    <t>HP15</t>
  </si>
  <si>
    <t>Waste</t>
  </si>
  <si>
    <t>cut-off values</t>
  </si>
  <si>
    <t>concentration limit</t>
  </si>
  <si>
    <t>remark</t>
  </si>
  <si>
    <t>H314: 1%</t>
  </si>
  <si>
    <t>H315: 1%</t>
  </si>
  <si>
    <t>H318: 1%</t>
  </si>
  <si>
    <t>H319: 1%</t>
  </si>
  <si>
    <t>an individual substance has to be present at or above the concentration limit for the waste to be classified as hazardous HP5</t>
  </si>
  <si>
    <t>the liquid waste shall be classified as hazardous by HP5 only where the overall kinematic viscosity (at 40°) does not exceed 20,5 mm²/s</t>
  </si>
  <si>
    <t>H300: 0,1%</t>
  </si>
  <si>
    <t>H310: 0,1%</t>
  </si>
  <si>
    <t>H330: 0,1%</t>
  </si>
  <si>
    <t>H301: 0,1%</t>
  </si>
  <si>
    <t>H311: 0,1%</t>
  </si>
  <si>
    <t>H331: 0,1%</t>
  </si>
  <si>
    <t>H302: 1%</t>
  </si>
  <si>
    <t>H312: 1%</t>
  </si>
  <si>
    <t>H332: 1%</t>
  </si>
  <si>
    <t>when more than one substance classified as acute toxic is present in a waste, the sum of the concentrations is required only for substances within the same hazard category</t>
  </si>
  <si>
    <r>
      <t xml:space="preserve">∑Oral Acute Tox. 1 (H300) </t>
    </r>
    <r>
      <rPr>
        <sz val="11"/>
        <color theme="1"/>
        <rFont val="Calibri"/>
        <family val="2"/>
      </rPr>
      <t>≥ 0,1%</t>
    </r>
    <r>
      <rPr>
        <sz val="11"/>
        <color theme="1"/>
        <rFont val="Calibri"/>
        <family val="2"/>
        <scheme val="minor"/>
      </rPr>
      <t>--&gt;HP6
∑Oral Acute Tox. 2 (H300) ≥ 0,25%--&gt;HP6</t>
    </r>
  </si>
  <si>
    <r>
      <t xml:space="preserve">∑Dermal Acute Tox. 1 (H310) </t>
    </r>
    <r>
      <rPr>
        <sz val="11"/>
        <color theme="1"/>
        <rFont val="Calibri"/>
        <family val="2"/>
      </rPr>
      <t>≥ 0,25%</t>
    </r>
    <r>
      <rPr>
        <sz val="11"/>
        <color theme="1"/>
        <rFont val="Calibri"/>
        <family val="2"/>
        <scheme val="minor"/>
      </rPr>
      <t>--&gt;HP6
∑Dermal Acute Tox. 2 (H310 ≥ 2,5%--&gt;HP6</t>
    </r>
  </si>
  <si>
    <r>
      <t xml:space="preserve">∑Inhal. Acute Tox. 1 (H310) </t>
    </r>
    <r>
      <rPr>
        <sz val="11"/>
        <color theme="1"/>
        <rFont val="Calibri"/>
        <family val="2"/>
      </rPr>
      <t>≥ 0,1%</t>
    </r>
    <r>
      <rPr>
        <sz val="11"/>
        <color theme="1"/>
        <rFont val="Calibri"/>
        <family val="2"/>
        <scheme val="minor"/>
      </rPr>
      <t>--&gt;HP6
∑Inhal. Acute Tox. 2 (H310) ≥  0,5%--&gt;HP6</t>
    </r>
  </si>
  <si>
    <t>∑Oral Acute Tox. 3 (H310) ≥  5%--&gt;HP6</t>
  </si>
  <si>
    <t>∑Dermal Acute Tox. 3 (H311) ≥ 15%--&gt;HP6</t>
  </si>
  <si>
    <t>∑Inhal. Acute Tox. 3 (H310) ≥  3,5%--&gt;HP6</t>
  </si>
  <si>
    <t>∑Oral Acute Tox. 4 (H310) ≥  25%--&gt;HP6</t>
  </si>
  <si>
    <t>∑Dermal Acute Tox. 4 (H312) ≥ 55%--&gt;HP6</t>
  </si>
  <si>
    <t>∑Inhal. Acute Tox. 4 (H332) ≥  22,5%--&gt;HP6</t>
  </si>
  <si>
    <t>∑Skin Irrit. 2 (H315) ≥ 20%--&gt; HP4</t>
  </si>
  <si>
    <t>∑Eye Dam. 1 (H318) ≥ 10%--&gt; HP4</t>
  </si>
  <si>
    <t>∑Eye Irrit. 2 (H319) ≥ 20% --&gt; HP4</t>
  </si>
  <si>
    <r>
      <t xml:space="preserve">STOT SE 1 (H370) </t>
    </r>
    <r>
      <rPr>
        <sz val="11"/>
        <color theme="1"/>
        <rFont val="Calibri"/>
        <family val="2"/>
      </rPr>
      <t>≥ 1%</t>
    </r>
    <r>
      <rPr>
        <sz val="11"/>
        <color theme="1"/>
        <rFont val="Calibri"/>
        <family val="2"/>
        <scheme val="minor"/>
      </rPr>
      <t>--&gt;HP5</t>
    </r>
  </si>
  <si>
    <t>STOT SE2 (H371) ≥ 10%--&gt;HP5</t>
  </si>
  <si>
    <t>STOT SE3 (H335) ≥ 20% --&gt;HP5</t>
  </si>
  <si>
    <t>STOT RE1 (H372) ≥ 1% --&gt;HP5</t>
  </si>
  <si>
    <t>STOT RE2 (H373) ≥ 10% --&gt; HP5</t>
  </si>
  <si>
    <t>Asp. Tox. 1 (H304) ≥ 10%--&gt;HP5</t>
  </si>
  <si>
    <t>Carc. 1A or 1B (H350) ≥ 0,1% --&gt; HP7</t>
  </si>
  <si>
    <t>Carc. 2 (H351) ≥ 1% --&gt; HP7</t>
  </si>
  <si>
    <t>when more than one substance classified as carcinogenic is present in a waste, an individual substance has to be present at or above the concentration limit for the waste to be classifed as hazardous by HP7</t>
  </si>
  <si>
    <t>Repr. 1A or 1B (H360) ≥ 0,3% --&gt; HP10</t>
  </si>
  <si>
    <t>Repr. 2 (H361) ≥ 3% --&gt; HP10</t>
  </si>
  <si>
    <t>when more than one substance classified as toxic for reproduction is present in a waste, an individual substance has to be present at or above the concentration limit for the waste to be classifed as hazardous by HP10</t>
  </si>
  <si>
    <t>Muta. 1A or 1B (H340) ≥ 0,1% --&gt; HP11</t>
  </si>
  <si>
    <t>Muta. 1A (H340) ≥ 1% --&gt; HP11</t>
  </si>
  <si>
    <t>when more than one substance classified as mutagenic is present in a waste, an individual substance has to be present at or above the concentration limit for the waste to be classifed as hazardous by HP7</t>
  </si>
  <si>
    <t>When waste contains a substance assigne to EUH029 it shall be classified as hazardous by HP12 according to test methods or guidelines</t>
  </si>
  <si>
    <t>When waste contains a substance assigne to EUH031 it shall be classified as hazardous by HP12 according to test methods or guidelines</t>
  </si>
  <si>
    <t>When waste contains a substance assigne to EUH032 it shall be classified as hazardous by HP12 according to test methods or guidelines</t>
  </si>
  <si>
    <t>Resp. Sens. 1 (H334)  ≥ 10% --&gt; HP13</t>
  </si>
  <si>
    <t>Resp. Sens. 1 (H317)  ≥ 10% --&gt; HP13</t>
  </si>
  <si>
    <t>when a waste contains a substance classified as sensitising and one individual substance equals or exceeds the concentration limit the waste shall be classified as hazardous by HP13</t>
  </si>
  <si>
    <t>when a waste contains a substance classified as sensitising and one individual substance equals or exceeds the concentration limit the waste shall be classified as hazardous by HP12</t>
  </si>
  <si>
    <t>HP8</t>
  </si>
  <si>
    <t>HP9</t>
  </si>
  <si>
    <t xml:space="preserve"> oxidising</t>
  </si>
  <si>
    <t xml:space="preserve"> flammable</t>
  </si>
  <si>
    <t xml:space="preserve"> irritant</t>
  </si>
  <si>
    <t xml:space="preserve"> harmful</t>
  </si>
  <si>
    <t xml:space="preserve"> toxic and very toxic</t>
  </si>
  <si>
    <t xml:space="preserve"> carcinogenic</t>
  </si>
  <si>
    <t xml:space="preserve"> corrosive</t>
  </si>
  <si>
    <t xml:space="preserve"> infectious (the attribution of HP 9 shall be assessed by national laws)</t>
  </si>
  <si>
    <t xml:space="preserve"> toxic for reproduction</t>
  </si>
  <si>
    <t xml:space="preserve"> mutagenic</t>
  </si>
  <si>
    <t xml:space="preserve"> ecotoxic</t>
  </si>
  <si>
    <t xml:space="preserve"> explosive</t>
  </si>
  <si>
    <t xml:space="preserve"> waste capable of exhibiting a hazardous property listed above not directly displayed by the original waste</t>
  </si>
  <si>
    <t xml:space="preserve"> release of an acute toxic gas</t>
  </si>
  <si>
    <t xml:space="preserve"> sensitising</t>
  </si>
  <si>
    <t>propertiesof waste which render it hazardous</t>
  </si>
  <si>
    <t>Cut-off vallue</t>
  </si>
  <si>
    <t>Concentration limits</t>
  </si>
  <si>
    <r>
      <t xml:space="preserve">May cause genetic defects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</si>
  <si>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Suspected of causing genetic defects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</si>
  <si>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May cause cancer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</si>
  <si>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Suspected of causing cancer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</si>
  <si>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May damage fertility or the unborn child </t>
    </r>
    <r>
      <rPr>
        <i/>
        <sz val="11"/>
        <color theme="0"/>
        <rFont val="Calibri"/>
        <family val="2"/>
        <scheme val="minor"/>
      </rPr>
      <t>&lt;state specific effect if known &gt; 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</si>
  <si>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Suspected of damaging fertility or the unborn child </t>
    </r>
    <r>
      <rPr>
        <i/>
        <sz val="11"/>
        <color theme="0"/>
        <rFont val="Calibri"/>
        <family val="2"/>
        <scheme val="minor"/>
      </rPr>
      <t>&lt;state specific effect if known&gt; 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</si>
  <si>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Causes damage to organs </t>
    </r>
    <r>
      <rPr>
        <i/>
        <sz val="11"/>
        <color theme="0"/>
        <rFont val="Calibri"/>
        <family val="2"/>
        <scheme val="minor"/>
      </rPr>
      <t>&lt;or state all organs affected, if known&gt; 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</si>
  <si>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May cause damage to organs </t>
    </r>
    <r>
      <rPr>
        <i/>
        <sz val="11"/>
        <color theme="0"/>
        <rFont val="Calibri"/>
        <family val="2"/>
        <scheme val="minor"/>
      </rPr>
      <t>&lt;or state all organs affected, if known&gt; 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</si>
  <si>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Causes damage to organs </t>
    </r>
    <r>
      <rPr>
        <i/>
        <sz val="11"/>
        <color theme="0"/>
        <rFont val="Calibri"/>
        <family val="2"/>
        <scheme val="minor"/>
      </rPr>
      <t>&lt;or state all organs affected, if known&gt;</t>
    </r>
    <r>
      <rPr>
        <sz val="11"/>
        <color theme="0"/>
        <rFont val="Calibri"/>
        <family val="2"/>
        <scheme val="minor"/>
      </rPr>
      <t xml:space="preserve"> through prolonged or repeated exposure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</si>
  <si>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 xml:space="preserve">May cause damage to organs </t>
    </r>
    <r>
      <rPr>
        <i/>
        <sz val="11"/>
        <color theme="0"/>
        <rFont val="Calibri"/>
        <family val="2"/>
        <scheme val="minor"/>
      </rPr>
      <t>&lt;or state all organs affected, if known&gt;</t>
    </r>
    <r>
      <rPr>
        <sz val="11"/>
        <color theme="0"/>
        <rFont val="Calibri"/>
        <family val="2"/>
        <scheme val="minor"/>
      </rPr>
      <t xml:space="preserve"> through prolonged or repeated exposure </t>
    </r>
    <r>
      <rPr>
        <i/>
        <sz val="11"/>
        <color theme="0"/>
        <rFont val="Calibri"/>
        <family val="2"/>
        <scheme val="minor"/>
      </rPr>
      <t>&lt;state route of exposure if it is conclusively proven that no other routes of exposure cause the hazard&gt;</t>
    </r>
    <r>
      <rPr>
        <sz val="11"/>
        <color theme="0"/>
        <rFont val="Calibri"/>
        <family val="2"/>
        <scheme val="minor"/>
      </rPr>
      <t>.</t>
    </r>
  </si>
  <si>
    <r>
      <t>Contains isocyanates. May produce an allergic reaction.</t>
    </r>
    <r>
      <rPr>
        <sz val="8"/>
        <color theme="0"/>
        <rFont val="Arial"/>
        <family val="2"/>
      </rPr>
      <t xml:space="preserve"> </t>
    </r>
  </si>
  <si>
    <r>
      <t>Contains epoxy constituents. May produce an allergic reaction.</t>
    </r>
    <r>
      <rPr>
        <strike/>
        <sz val="8"/>
        <color theme="0"/>
        <rFont val="Arial"/>
        <family val="2"/>
      </rPr>
      <t xml:space="preserve"> </t>
    </r>
  </si>
  <si>
    <t>when a waste contains one or more substances classified as H205, it shall be classified as hazardous by HP15, unless the waste is in such a form that it will not under any circumstance exhibit explosive or potentially explosive properties</t>
  </si>
  <si>
    <t>when a waste contains one or more substances classified as EUH001 it shall be classified as hazardous by HP15, unless the waste is in such a form that it will not under any circumstance exhibit explosive or potentially explosive properties</t>
  </si>
  <si>
    <t>when a waste contains one or more substances classified as EUH019 it shall be classified as hazardous by HP15, unless the waste is in such a form that it will not under any circumstance exhibit explosive or potentially explosive properties</t>
  </si>
  <si>
    <t>when a waste contains one or more substances classified as EUH044 it shall be classified as hazardous by HP15, unless the waste is in such a form that it will not under any circumstance exhibit explosive or potentially explosive properties</t>
  </si>
  <si>
    <t xml:space="preserve">
Does it contain less then 15% lilial </t>
  </si>
  <si>
    <t xml:space="preserve"> irritant or corrosive</t>
  </si>
  <si>
    <r>
      <rPr>
        <sz val="11"/>
        <color theme="1"/>
        <rFont val="Calibri"/>
        <family val="2"/>
      </rPr>
      <t>∑Skin Corr. 1A (</t>
    </r>
    <r>
      <rPr>
        <sz val="11"/>
        <color theme="1"/>
        <rFont val="Calibri"/>
        <family val="2"/>
        <scheme val="minor"/>
      </rPr>
      <t xml:space="preserve">H314) </t>
    </r>
    <r>
      <rPr>
        <sz val="11"/>
        <color theme="1"/>
        <rFont val="Calibri"/>
        <family val="2"/>
      </rPr>
      <t>≥ 1%</t>
    </r>
    <r>
      <rPr>
        <sz val="11"/>
        <color theme="1"/>
        <rFont val="Calibri"/>
        <family val="2"/>
        <scheme val="minor"/>
      </rPr>
      <t>--&gt; HP4   ∑Skin Corr 1A, 1B or 1C (H314) ≥ 5%--&gt; HP8</t>
    </r>
  </si>
  <si>
    <t>..\..\..\LEGISLATION-OFFICIALSTANDARDS\LEGISLATION\EC\environment\WASTE\REG 1357 2014.pdf</t>
  </si>
  <si>
    <t>link to regulation</t>
  </si>
  <si>
    <t>properties of waste which render it hazardous</t>
  </si>
  <si>
    <t>cutt-off value</t>
  </si>
  <si>
    <t>explanation</t>
  </si>
  <si>
    <t>Is it formic acid?</t>
  </si>
  <si>
    <t>Is it Sodium Metaperiodate?</t>
  </si>
  <si>
    <t>Ist it Formic Acid 75%?</t>
  </si>
  <si>
    <t>Strzelce</t>
  </si>
  <si>
    <t>IDENTIFICATIE</t>
  </si>
  <si>
    <t>Bedrijf</t>
  </si>
  <si>
    <t>Naam uitvoerders</t>
  </si>
  <si>
    <t>Datum aanvang</t>
  </si>
  <si>
    <t>uur</t>
  </si>
  <si>
    <t>Datum einde</t>
  </si>
  <si>
    <t>Omschrijving werkzaamheden</t>
  </si>
  <si>
    <t>afdeling/plaats</t>
  </si>
  <si>
    <t>werken aan leidingen fluida/gassen</t>
  </si>
  <si>
    <t>werken aan elektriciteit</t>
  </si>
  <si>
    <t>graafwerken in put of gracht</t>
  </si>
  <si>
    <t>werken boven wateroppervlak</t>
  </si>
  <si>
    <t>heffen hijsen zware lasten</t>
  </si>
  <si>
    <t xml:space="preserve">andere: </t>
  </si>
  <si>
    <t>RISICOS EIGEN AAN HET WERK door uitvoerder in te vullen</t>
  </si>
  <si>
    <r>
      <t xml:space="preserve">Impact branddetectie, brandblusmiddelen tijdens &amp; na de werken? </t>
    </r>
    <r>
      <rPr>
        <sz val="9"/>
        <color theme="1"/>
        <rFont val="Calibri"/>
        <family val="2"/>
        <scheme val="minor"/>
      </rPr>
      <t>(vb verplaatsen, wijzigen)</t>
    </r>
  </si>
  <si>
    <r>
      <t xml:space="preserve">gebruik gas/ vloeistof onder druk </t>
    </r>
    <r>
      <rPr>
        <sz val="9"/>
        <color theme="1"/>
        <rFont val="Calibri"/>
        <family val="2"/>
        <scheme val="minor"/>
      </rPr>
      <t>(reinigen)</t>
    </r>
  </si>
  <si>
    <r>
      <t xml:space="preserve">Impact brandcompartimentering tijdens en na de werken? </t>
    </r>
    <r>
      <rPr>
        <sz val="9"/>
        <color theme="1"/>
        <rFont val="Calibri"/>
        <family val="2"/>
        <scheme val="minor"/>
      </rPr>
      <t>(vb gaten doorvoer van leidingen)</t>
    </r>
  </si>
  <si>
    <r>
      <t xml:space="preserve">Impact evacuatiewegen tijdens en na de werken? </t>
    </r>
    <r>
      <rPr>
        <sz val="9"/>
        <color theme="1"/>
        <rFont val="Calibri"/>
        <family val="2"/>
        <scheme val="minor"/>
      </rPr>
      <t>(vb wijzigingen pictogrammen, plannen)</t>
    </r>
  </si>
  <si>
    <r>
      <t xml:space="preserve">Impact beveiliging tijdens en na de werken? </t>
    </r>
    <r>
      <rPr>
        <sz val="9"/>
        <color theme="1"/>
        <rFont val="Calibri"/>
        <family val="2"/>
        <scheme val="minor"/>
      </rPr>
      <t>(badge &amp; sleutel beheer, camera's)</t>
    </r>
  </si>
  <si>
    <t>Opslagpaats nodig tijdens de werken?</t>
  </si>
  <si>
    <t>Afsluiten werf nodig tijdens de werken?</t>
  </si>
  <si>
    <t>werken met open vlam, ontstekingsbron</t>
  </si>
  <si>
    <t>tijdelijk overbruggen/verwijderen veiligheid</t>
  </si>
  <si>
    <t>gebruik van gevaarlijke product(en)</t>
  </si>
  <si>
    <t>brand</t>
  </si>
  <si>
    <t>evacuatie</t>
  </si>
  <si>
    <t>beveiliging</t>
  </si>
  <si>
    <t>opslag</t>
  </si>
  <si>
    <r>
      <t>betreden besloten ruimte</t>
    </r>
    <r>
      <rPr>
        <sz val="9"/>
        <color theme="1"/>
        <rFont val="Calibri"/>
        <family val="2"/>
        <scheme val="minor"/>
      </rPr>
      <t xml:space="preserve"> (bv kruipkelder)</t>
    </r>
  </si>
  <si>
    <t>voor de werken</t>
  </si>
  <si>
    <t>tijdens de werken</t>
  </si>
  <si>
    <t>na de werken</t>
  </si>
  <si>
    <t>verwittig betrokken personen</t>
  </si>
  <si>
    <t>vul risicoformulier elektriciteit in</t>
  </si>
  <si>
    <t>de nodige signalisatie plaatsen</t>
  </si>
  <si>
    <t>brandblusser in werkzone voorzien</t>
  </si>
  <si>
    <t xml:space="preserve">geen brandbare/ontvlambare in straal 15 m </t>
  </si>
  <si>
    <t>indien vorige niet mogelijk: spatscherm of</t>
  </si>
  <si>
    <t>systeem veilig vrijgeven (mech &amp; elektrisch)</t>
  </si>
  <si>
    <t>vul H-zinnen gebruikte producten in</t>
  </si>
  <si>
    <t>gebruik de juiste beschermingsmiddelen</t>
  </si>
  <si>
    <t xml:space="preserve">AFSPRAKEN ivm </t>
  </si>
  <si>
    <t>Dagelijks opstart controle</t>
  </si>
  <si>
    <t>DAG1</t>
  </si>
  <si>
    <t>DAG2</t>
  </si>
  <si>
    <t>DAG3</t>
  </si>
  <si>
    <t>DAG4</t>
  </si>
  <si>
    <t>2de persoon als wachter inzetten</t>
  </si>
  <si>
    <t>vul risicoformulier hoogte in</t>
  </si>
  <si>
    <t>Impact Patient? geluid, trillingen</t>
  </si>
  <si>
    <t>patient</t>
  </si>
  <si>
    <t>branddeken op permanent toezicht voorzien</t>
  </si>
  <si>
    <t>WERKVERGUNNING JYZ</t>
  </si>
  <si>
    <r>
      <t xml:space="preserve">werken op hoogte </t>
    </r>
    <r>
      <rPr>
        <sz val="9"/>
        <color theme="1"/>
        <rFont val="Calibri"/>
        <family val="2"/>
        <scheme val="minor"/>
      </rPr>
      <t xml:space="preserve">(&gt;2m) </t>
    </r>
    <r>
      <rPr>
        <sz val="11"/>
        <color theme="1"/>
        <rFont val="Calibri"/>
        <family val="2"/>
        <scheme val="minor"/>
      </rPr>
      <t>of betreden daken</t>
    </r>
  </si>
  <si>
    <t>WERKEN AAN ELEKTRICITEIT JYZ</t>
  </si>
  <si>
    <t>WERKEN OP HOOGTE OF DAKEN  JYZ</t>
  </si>
  <si>
    <t>WAT IS UW BEKWAAMHEID</t>
  </si>
  <si>
    <t>Geen</t>
  </si>
  <si>
    <t>BA4</t>
  </si>
  <si>
    <t>BA5</t>
  </si>
  <si>
    <t xml:space="preserve">afsluiten </t>
  </si>
  <si>
    <t>Bedienen, besturing</t>
  </si>
  <si>
    <t>Elektrische werkzaamheden</t>
  </si>
  <si>
    <t xml:space="preserve"> normaal</t>
  </si>
  <si>
    <t>uitzonderlijk</t>
  </si>
  <si>
    <t>eenvoudig</t>
  </si>
  <si>
    <t>complex</t>
  </si>
  <si>
    <t>niet toegestaan</t>
  </si>
  <si>
    <t>WAT MAG U DOEN</t>
  </si>
  <si>
    <t>aflezen meetinstrumenten</t>
  </si>
  <si>
    <t>schakelaars, stekkers gebruiken</t>
  </si>
  <si>
    <t>vervangen smeltveiligheden &lt; 32A</t>
  </si>
  <si>
    <t>vervangen lampen</t>
  </si>
  <si>
    <t>eenvoudige metingen, controle</t>
  </si>
  <si>
    <t>installatie, uitbreiding net</t>
  </si>
  <si>
    <t xml:space="preserve">herstelling appartuur </t>
  </si>
  <si>
    <r>
      <rPr>
        <b/>
        <u/>
        <sz val="8"/>
        <color theme="1"/>
        <rFont val="Calibri"/>
        <family val="2"/>
        <scheme val="minor"/>
      </rPr>
      <t>eenmalig</t>
    </r>
    <r>
      <rPr>
        <sz val="8"/>
        <color theme="1"/>
        <rFont val="Calibri"/>
        <family val="2"/>
        <scheme val="minor"/>
      </rPr>
      <t xml:space="preserve"> herwapenen beveiligingsapparatuur</t>
    </r>
  </si>
  <si>
    <t>spanningsloos</t>
  </si>
  <si>
    <t>veiligheidsspanning</t>
  </si>
  <si>
    <t>tussen 50 en 220-240V</t>
  </si>
  <si>
    <t>tussen 240 en 380-410V</t>
  </si>
  <si>
    <t>IN WELKE OMSTANDIGHEDE GEBEUREN WERKZAAMHEDEN</t>
  </si>
  <si>
    <t>natte omgeving</t>
  </si>
  <si>
    <t>droge omgeving</t>
  </si>
  <si>
    <t>schakelen hoogspanning</t>
  </si>
  <si>
    <t>Spanning</t>
  </si>
  <si>
    <t xml:space="preserve">           Omgeving</t>
  </si>
  <si>
    <t>BA5 + schakelbevoegd</t>
  </si>
  <si>
    <t>wissel</t>
  </si>
  <si>
    <t>gelijk</t>
  </si>
  <si>
    <t>droge huid</t>
  </si>
  <si>
    <t>natte huid</t>
  </si>
  <si>
    <t>ondergedompeld</t>
  </si>
  <si>
    <t>vochtigheid huid</t>
  </si>
  <si>
    <t>hoogspanning</t>
  </si>
  <si>
    <t>werken in nabijheid  geleider (&lt; 50 cm)</t>
  </si>
  <si>
    <t>Graaf- of hijswerken</t>
  </si>
  <si>
    <t>bevoegdheden  ok</t>
  </si>
  <si>
    <t>omstandigheden  ok</t>
  </si>
  <si>
    <t>Alvorens graaf-hijswerken aan te vatten, overleg plegen ivm ligging ingegraven kabels of bovenleidingen</t>
  </si>
  <si>
    <t>Geen specifieke maatregelen voorzien</t>
  </si>
  <si>
    <t>Gebruik isolerend gereedschap</t>
  </si>
  <si>
    <t>Draag veiligheidschoeisel</t>
  </si>
  <si>
    <t>Draag beige isolerende handschoenen (klasse 00) bij activiteiten in nabijheid van blanke actieve delen onder spanning</t>
  </si>
  <si>
    <t>Draag een veiligheidshelm + gelaatscherm+ neklap</t>
  </si>
  <si>
    <t>Draag gele isolerende handschoenen (klasse 2)</t>
  </si>
  <si>
    <t>Draag gesloten brandvertragende kledij</t>
  </si>
  <si>
    <t>Indien u bij schakelen hoogspanning binnen de toegelaten zone voor niet-beschermde actieve delen komt moet u principe van 2 isolaties in serie respecteren (schakelbank en schakelstok)</t>
  </si>
  <si>
    <t>Respecteer de 8 gouden regels om de installaties spanningsloos te  maken en houden</t>
  </si>
  <si>
    <t>Uitvoerder</t>
  </si>
  <si>
    <t>Opdrachtgever</t>
  </si>
  <si>
    <t>Handtekening</t>
  </si>
  <si>
    <t>GOEDKEURING INSTALLATIEVERANTWOORDELIJKE     AKKOORD UITVOERDER</t>
  </si>
  <si>
    <t>Naam:</t>
  </si>
  <si>
    <t>Handtekening:</t>
  </si>
  <si>
    <t>invullen in hoofdformulier</t>
  </si>
  <si>
    <t>50V</t>
  </si>
  <si>
    <t>25V</t>
  </si>
  <si>
    <t>12V</t>
  </si>
  <si>
    <t>75V</t>
  </si>
  <si>
    <t>36V</t>
  </si>
  <si>
    <t>18V</t>
  </si>
  <si>
    <t>werken op plat dak</t>
  </si>
  <si>
    <t>WAT GAAT U DOEN</t>
  </si>
  <si>
    <t>hoogte</t>
  </si>
  <si>
    <t>statijd</t>
  </si>
  <si>
    <t>kracht</t>
  </si>
  <si>
    <t>rijkwijdte</t>
  </si>
  <si>
    <t>5 m</t>
  </si>
  <si>
    <t>7,5 m</t>
  </si>
  <si>
    <t>2u</t>
  </si>
  <si>
    <t>4u</t>
  </si>
  <si>
    <t>5 kg</t>
  </si>
  <si>
    <t>10 kg</t>
  </si>
  <si>
    <t>armlengte</t>
  </si>
  <si>
    <t xml:space="preserve"> 1 arm</t>
  </si>
  <si>
    <t>m</t>
  </si>
  <si>
    <t>u</t>
  </si>
  <si>
    <t>kg</t>
  </si>
  <si>
    <t>veiligheidsoverleg ivm gebruik ladder</t>
  </si>
  <si>
    <t>ladder niet toegelaten</t>
  </si>
  <si>
    <t>ladder toegelaten?</t>
  </si>
  <si>
    <t>(niet toegelaten &gt; 10m</t>
  </si>
  <si>
    <t>moet 1 m uitsteken)</t>
  </si>
  <si>
    <t>betreden plat dak</t>
  </si>
  <si>
    <t xml:space="preserve">      --&gt; zoniet met harnas aan levenslijn haken</t>
  </si>
  <si>
    <t>- bewaar de orde en netheid op het dak ivm struikelgevaar</t>
  </si>
  <si>
    <t>GOEDKEURING OPDRACHTGEVER                                 AKKOORD UITVOERDER</t>
  </si>
  <si>
    <t>GOEDKEURING OPDRACHTGEVER                                                                             CONTROLE</t>
  </si>
  <si>
    <t>-  bij openleggen van dak is voorafgaand veiligheidoverleg vereist</t>
  </si>
  <si>
    <t>Geef de naam op van de bevoegde persoon:</t>
  </si>
  <si>
    <r>
      <t xml:space="preserve">geheel loodrecht?  </t>
    </r>
    <r>
      <rPr>
        <b/>
        <sz val="8"/>
        <color theme="1"/>
        <rFont val="Calibri"/>
        <family val="2"/>
        <scheme val="minor"/>
      </rPr>
      <t>--&gt; stevige steun, fundament</t>
    </r>
  </si>
  <si>
    <r>
      <rPr>
        <sz val="11"/>
        <color theme="1"/>
        <rFont val="Calibri"/>
        <family val="2"/>
        <scheme val="minor"/>
      </rPr>
      <t>degelijke ondergrond?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--&gt; geen verzakkingen</t>
    </r>
  </si>
  <si>
    <r>
      <t xml:space="preserve">stevige structuur? </t>
    </r>
    <r>
      <rPr>
        <b/>
        <sz val="8"/>
        <color theme="1"/>
        <rFont val="Calibri"/>
        <family val="2"/>
        <scheme val="minor"/>
      </rPr>
      <t>--&gt; koppelingen in goede staat</t>
    </r>
  </si>
  <si>
    <r>
      <t xml:space="preserve">stabiliteit?  </t>
    </r>
    <r>
      <rPr>
        <b/>
        <sz val="8"/>
        <color theme="1"/>
        <rFont val="Calibri"/>
        <family val="2"/>
        <scheme val="minor"/>
      </rPr>
      <t>--&gt; verankeren als hoogte &gt; 3x basis</t>
    </r>
  </si>
  <si>
    <t>veilige werkvloer?</t>
  </si>
  <si>
    <r>
      <t xml:space="preserve">maximum belasting?  </t>
    </r>
    <r>
      <rPr>
        <b/>
        <sz val="8"/>
        <color theme="1"/>
        <rFont val="Calibri"/>
        <family val="2"/>
        <scheme val="minor"/>
      </rPr>
      <t>--&gt; zie steigerlabel (1KN= 100kg)</t>
    </r>
  </si>
  <si>
    <t>vallen personen &amp; voorwerpen voorkomen?</t>
  </si>
  <si>
    <t>--&gt; leuningen aan alle open kanten + kantplank</t>
  </si>
  <si>
    <t>toegang?</t>
  </si>
  <si>
    <t xml:space="preserve">  overhandigd aan JYZ</t>
  </si>
  <si>
    <t>ladder toegelaten</t>
  </si>
  <si>
    <t>- blijf minimaal 2 m van de dakrand/koepels zonder bescherming</t>
  </si>
  <si>
    <t>--&gt; voldoende breed, hele werkruimte</t>
  </si>
  <si>
    <t>-verplaats mobiele stelling indien nodig op tijd</t>
  </si>
  <si>
    <t>-mobiele stelling niet verplaatsen met personen op</t>
  </si>
  <si>
    <t>-neem enkel nodig materiaal mee &amp; respecteer max belasting</t>
  </si>
  <si>
    <t>-bewaar orde en netheid op stelling</t>
  </si>
  <si>
    <t>gebruik gekeurde hijsmiddelen</t>
  </si>
  <si>
    <t>ladder in goede staat en proper</t>
  </si>
  <si>
    <t>degelijk verankerd</t>
  </si>
  <si>
    <t xml:space="preserve">                                                             --&gt; langs binnenkant, opening met luik</t>
  </si>
  <si>
    <t>controle voor gebruik op 4 punten</t>
  </si>
  <si>
    <t xml:space="preserve">       bedekt en niet te ver van gevel</t>
  </si>
  <si>
    <t xml:space="preserve"> betreden en werken op daken</t>
  </si>
  <si>
    <t xml:space="preserve"> stelling plaatsen</t>
  </si>
  <si>
    <t xml:space="preserve"> stelling gebruiken</t>
  </si>
  <si>
    <t>Datum start</t>
  </si>
  <si>
    <r>
      <t>stabiel opgesteld</t>
    </r>
    <r>
      <rPr>
        <b/>
        <sz val="8"/>
        <color theme="1"/>
        <rFont val="Calibri"/>
        <family val="2"/>
        <scheme val="minor"/>
      </rPr>
      <t xml:space="preserve"> --&gt; waterpas, degelijke ondergrond </t>
    </r>
  </si>
  <si>
    <t>-werken buiten niet toegelaten bij ijzel, &gt; 6 beaufort, bliksem</t>
  </si>
  <si>
    <t>RISICOS EIGEN AAN HET WERK door opdrachtgever JYZ in te vullen</t>
  </si>
  <si>
    <t>SCHUIFLADDER</t>
  </si>
  <si>
    <t>TRAPLADDER</t>
  </si>
  <si>
    <t xml:space="preserve">--&gt; veel verkeer = goed kenbaar maken </t>
  </si>
  <si>
    <t>--&gt; meer dan 25 sporten = bovenaan vastmaken</t>
  </si>
  <si>
    <t xml:space="preserve">  ladder gebruiken</t>
  </si>
  <si>
    <t xml:space="preserve">  werk op hoogte &gt; 2 m</t>
  </si>
  <si>
    <r>
      <t xml:space="preserve">geschikte ladder </t>
    </r>
    <r>
      <rPr>
        <b/>
        <sz val="8"/>
        <color theme="1"/>
        <rFont val="Calibri"/>
        <family val="2"/>
        <scheme val="minor"/>
      </rPr>
      <t xml:space="preserve">--&gt;  elektriciteit </t>
    </r>
    <r>
      <rPr>
        <b/>
        <sz val="8"/>
        <color theme="1"/>
        <rFont val="Calibri"/>
        <family val="2"/>
      </rPr>
      <t>≠</t>
    </r>
    <r>
      <rPr>
        <b/>
        <sz val="8"/>
        <color theme="1"/>
        <rFont val="Calibri"/>
        <family val="2"/>
        <scheme val="minor"/>
      </rPr>
      <t xml:space="preserve"> aluminium ladder</t>
    </r>
  </si>
  <si>
    <t>--&gt; degelijk verankeren of 2e man die ladder vast houdt</t>
  </si>
  <si>
    <t xml:space="preserve"> toegang via dakluik, dakopbouw (deur)</t>
  </si>
  <si>
    <t xml:space="preserve"> toegang via hoogtewerker</t>
  </si>
  <si>
    <t xml:space="preserve"> toegang via kooiladder</t>
  </si>
  <si>
    <t xml:space="preserve"> toegang via ladder</t>
  </si>
  <si>
    <t xml:space="preserve"> steiger wordt ge(de)monteerd omgebouwd</t>
  </si>
  <si>
    <t xml:space="preserve"> door opgeleid monteur</t>
  </si>
  <si>
    <t xml:space="preserve"> berekeningsnota en instructienota werd</t>
  </si>
  <si>
    <t xml:space="preserve"> steigerlabel (scafftag) werd aangebracht</t>
  </si>
  <si>
    <t xml:space="preserve"> controle voor gebruik op 8 punten</t>
  </si>
  <si>
    <t xml:space="preserve"> enkel opgeleide personen gebruiken stelling</t>
  </si>
  <si>
    <t xml:space="preserve">    enkel opgeleide personen bestijgen ladder</t>
  </si>
  <si>
    <t xml:space="preserve">  hoogtewerker gebruiken</t>
  </si>
  <si>
    <t>- altijd gezicht naar ladder gericht + min. met 1 hand vast</t>
  </si>
  <si>
    <t>- nooit meer dan 1 persoon op ladder</t>
  </si>
  <si>
    <t>- 4 delen omhoog = 1 deel breed</t>
  </si>
  <si>
    <t>- 2 stukken = overlap min 4 sporten</t>
  </si>
  <si>
    <t>-  gebruik bovenste stuk niet apart</t>
  </si>
  <si>
    <t>- niet ingeklapt gebruiken</t>
  </si>
  <si>
    <t>- voorkom inklappen</t>
  </si>
  <si>
    <t xml:space="preserve">- bovenaan 1 meter uitsteken </t>
  </si>
  <si>
    <t>- nooit verder 4e laatste sport (ladder), op beugel (trapladder)</t>
  </si>
  <si>
    <t>--&gt; hoogtewerker, stelling</t>
  </si>
  <si>
    <t>- enkel door opgeleid persoon (&gt; 18j, geen jobstudent)</t>
  </si>
  <si>
    <t>- hoogte niet vergroten met (trap)ladders, werkbankjes, stoel</t>
  </si>
  <si>
    <t>- indien verplicht, harnas vasthaken (zie handleiding)</t>
  </si>
  <si>
    <t>- hoogtewerker ≠ hijswerktuig</t>
  </si>
  <si>
    <t>- verplaats ladder indien nodig op tijd (vanaf 1 armlengte)</t>
  </si>
  <si>
    <t>- keuringsperiode controleren + controleer intact zijn leuning</t>
  </si>
  <si>
    <t>- werken niet toegelaten bij ijzel of &gt; 6 beaufort</t>
  </si>
  <si>
    <t>AFSRPRAKEN WERKVERGUNNING</t>
  </si>
  <si>
    <t>- buizen van stelling ≠ ladder</t>
  </si>
  <si>
    <t xml:space="preserve"> </t>
  </si>
  <si>
    <t>= ontvlambaar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</si>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</sst>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11E2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Courier"/>
      <family val="3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name val="Arial"/>
      <family val="2"/>
    </font>
    <font>
      <strike/>
      <sz val="8"/>
      <name val="Arial"/>
      <family val="2"/>
    </font>
    <font>
      <strike/>
      <sz val="11"/>
      <name val="Calibri"/>
      <family val="2"/>
      <scheme val="minor"/>
    </font>
    <font>
      <sz val="11"/>
      <color rgb="FF333333"/>
      <name val="Arial"/>
      <family val="2"/>
    </font>
    <font>
      <sz val="9"/>
      <color rgb="FF666666"/>
      <name val="Arial"/>
      <family val="2"/>
    </font>
    <font>
      <b/>
      <sz val="11"/>
      <color rgb="FF111E23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9"/>
      <color theme="0"/>
      <name val="Courier"/>
      <family val="3"/>
    </font>
    <font>
      <i/>
      <sz val="11"/>
      <color theme="0"/>
      <name val="Calibri"/>
      <family val="2"/>
      <scheme val="minor"/>
    </font>
    <font>
      <sz val="8"/>
      <color theme="0"/>
      <name val="Arial"/>
      <family val="2"/>
    </font>
    <font>
      <strike/>
      <sz val="8"/>
      <color theme="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Wingdings"/>
      <charset val="2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  <scheme val="minor"/>
    </font>
    <font>
      <sz val="12"/>
      <color rgb="FFE61A2F"/>
      <name val="Arial"/>
      <family val="2"/>
    </font>
    <font>
      <b/>
      <sz val="1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7"/>
      <color rgb="FF002060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Wingdings"/>
      <charset val="2"/>
    </font>
    <font>
      <sz val="10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Lucida Sans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9997558519241920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rgb="FFFF0000"/>
      </top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auto="1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Border="1"/>
    <xf numFmtId="0" fontId="0" fillId="0" borderId="2" xfId="0" applyFont="1" applyBorder="1"/>
    <xf numFmtId="0" fontId="0" fillId="0" borderId="1" xfId="0" applyBorder="1"/>
    <xf numFmtId="0" fontId="0" fillId="0" borderId="0" xfId="0" applyFill="1" applyBorder="1"/>
    <xf numFmtId="0" fontId="6" fillId="0" borderId="1" xfId="0" applyFont="1" applyBorder="1"/>
    <xf numFmtId="0" fontId="1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0" fillId="0" borderId="9" xfId="0" applyFont="1" applyBorder="1"/>
    <xf numFmtId="0" fontId="5" fillId="0" borderId="9" xfId="0" applyFont="1" applyBorder="1"/>
    <xf numFmtId="0" fontId="5" fillId="2" borderId="9" xfId="0" applyFont="1" applyFill="1" applyBorder="1"/>
    <xf numFmtId="0" fontId="0" fillId="0" borderId="16" xfId="0" applyFont="1" applyBorder="1"/>
    <xf numFmtId="0" fontId="3" fillId="0" borderId="17" xfId="0" applyFont="1" applyBorder="1"/>
    <xf numFmtId="0" fontId="0" fillId="0" borderId="19" xfId="0" applyFont="1" applyBorder="1"/>
    <xf numFmtId="0" fontId="3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3" fillId="0" borderId="23" xfId="0" applyFont="1" applyBorder="1"/>
    <xf numFmtId="0" fontId="0" fillId="0" borderId="25" xfId="0" applyFont="1" applyBorder="1"/>
    <xf numFmtId="0" fontId="0" fillId="0" borderId="27" xfId="0" applyFont="1" applyBorder="1"/>
    <xf numFmtId="0" fontId="6" fillId="0" borderId="0" xfId="0" applyFont="1" applyFill="1"/>
    <xf numFmtId="0" fontId="0" fillId="0" borderId="15" xfId="0" applyFont="1" applyBorder="1"/>
    <xf numFmtId="0" fontId="0" fillId="0" borderId="15" xfId="0" applyBorder="1"/>
    <xf numFmtId="0" fontId="0" fillId="0" borderId="13" xfId="0" applyFont="1" applyBorder="1"/>
    <xf numFmtId="0" fontId="12" fillId="0" borderId="15" xfId="0" applyFont="1" applyFill="1" applyBorder="1"/>
    <xf numFmtId="0" fontId="3" fillId="0" borderId="3" xfId="0" applyFont="1" applyBorder="1"/>
    <xf numFmtId="0" fontId="0" fillId="0" borderId="5" xfId="0" applyFont="1" applyBorder="1"/>
    <xf numFmtId="0" fontId="11" fillId="0" borderId="1" xfId="0" applyFont="1" applyBorder="1"/>
    <xf numFmtId="0" fontId="0" fillId="0" borderId="6" xfId="0" applyFont="1" applyBorder="1"/>
    <xf numFmtId="0" fontId="0" fillId="0" borderId="8" xfId="0" applyFont="1" applyBorder="1"/>
    <xf numFmtId="0" fontId="3" fillId="0" borderId="15" xfId="0" applyFont="1" applyBorder="1"/>
    <xf numFmtId="0" fontId="0" fillId="0" borderId="11" xfId="0" applyFont="1" applyBorder="1"/>
    <xf numFmtId="0" fontId="0" fillId="0" borderId="3" xfId="0" applyBorder="1"/>
    <xf numFmtId="0" fontId="0" fillId="0" borderId="6" xfId="0" applyBorder="1"/>
    <xf numFmtId="0" fontId="0" fillId="0" borderId="12" xfId="0" applyFont="1" applyBorder="1"/>
    <xf numFmtId="0" fontId="0" fillId="0" borderId="10" xfId="0" applyFont="1" applyBorder="1"/>
    <xf numFmtId="0" fontId="11" fillId="0" borderId="3" xfId="0" applyFont="1" applyBorder="1"/>
    <xf numFmtId="0" fontId="0" fillId="0" borderId="5" xfId="0" applyBorder="1"/>
    <xf numFmtId="0" fontId="3" fillId="0" borderId="13" xfId="0" applyFont="1" applyFill="1" applyBorder="1"/>
    <xf numFmtId="0" fontId="3" fillId="0" borderId="13" xfId="0" applyFont="1" applyBorder="1"/>
    <xf numFmtId="0" fontId="6" fillId="0" borderId="12" xfId="0" applyFont="1" applyBorder="1"/>
    <xf numFmtId="0" fontId="6" fillId="0" borderId="9" xfId="0" applyFont="1" applyBorder="1"/>
    <xf numFmtId="0" fontId="6" fillId="0" borderId="9" xfId="0" applyFont="1" applyFill="1" applyBorder="1"/>
    <xf numFmtId="0" fontId="6" fillId="0" borderId="10" xfId="0" applyFont="1" applyBorder="1"/>
    <xf numFmtId="0" fontId="9" fillId="0" borderId="14" xfId="0" applyFont="1" applyBorder="1"/>
    <xf numFmtId="0" fontId="9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3" xfId="0" applyFill="1" applyBorder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3" xfId="0" applyFont="1" applyBorder="1"/>
    <xf numFmtId="0" fontId="6" fillId="0" borderId="6" xfId="0" applyFont="1" applyBorder="1"/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2" borderId="16" xfId="0" applyFont="1" applyFill="1" applyBorder="1" applyAlignment="1">
      <alignment horizontal="right" vertical="top"/>
    </xf>
    <xf numFmtId="0" fontId="6" fillId="2" borderId="30" xfId="0" applyFont="1" applyFill="1" applyBorder="1"/>
    <xf numFmtId="0" fontId="6" fillId="2" borderId="38" xfId="0" applyFont="1" applyFill="1" applyBorder="1" applyAlignment="1">
      <alignment horizontal="right" vertical="top"/>
    </xf>
    <xf numFmtId="0" fontId="6" fillId="2" borderId="3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/>
    </xf>
    <xf numFmtId="0" fontId="22" fillId="0" borderId="1" xfId="0" applyFont="1" applyBorder="1"/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5" xfId="0" applyFont="1" applyFill="1" applyBorder="1"/>
    <xf numFmtId="0" fontId="17" fillId="0" borderId="15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6" fillId="0" borderId="14" xfId="0" applyFont="1" applyFill="1" applyBorder="1"/>
    <xf numFmtId="0" fontId="17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2" borderId="38" xfId="0" applyFont="1" applyFill="1" applyBorder="1" applyAlignment="1">
      <alignment horizontal="right" vertical="top"/>
    </xf>
    <xf numFmtId="0" fontId="6" fillId="5" borderId="14" xfId="0" applyFont="1" applyFill="1" applyBorder="1" applyAlignment="1">
      <alignment vertical="top"/>
    </xf>
    <xf numFmtId="0" fontId="6" fillId="5" borderId="15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18" xfId="0" applyFont="1" applyBorder="1"/>
    <xf numFmtId="0" fontId="3" fillId="0" borderId="0" xfId="0" applyFont="1"/>
    <xf numFmtId="0" fontId="3" fillId="0" borderId="25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24" fillId="0" borderId="0" xfId="0" applyFont="1"/>
    <xf numFmtId="0" fontId="6" fillId="2" borderId="0" xfId="0" applyFont="1" applyFill="1" applyBorder="1" applyAlignment="1">
      <alignment vertical="top" wrapText="1"/>
    </xf>
    <xf numFmtId="0" fontId="6" fillId="2" borderId="40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/>
    </xf>
    <xf numFmtId="0" fontId="4" fillId="0" borderId="38" xfId="0" applyFont="1" applyBorder="1"/>
    <xf numFmtId="0" fontId="0" fillId="0" borderId="38" xfId="0" applyFont="1" applyBorder="1"/>
    <xf numFmtId="0" fontId="5" fillId="0" borderId="38" xfId="0" applyFont="1" applyBorder="1"/>
    <xf numFmtId="0" fontId="0" fillId="2" borderId="38" xfId="0" applyFont="1" applyFill="1" applyBorder="1"/>
    <xf numFmtId="0" fontId="5" fillId="2" borderId="38" xfId="0" applyFont="1" applyFill="1" applyBorder="1"/>
    <xf numFmtId="0" fontId="0" fillId="0" borderId="42" xfId="0" applyFont="1" applyBorder="1"/>
    <xf numFmtId="0" fontId="5" fillId="0" borderId="42" xfId="0" applyFont="1" applyBorder="1"/>
    <xf numFmtId="0" fontId="0" fillId="0" borderId="42" xfId="0" applyBorder="1"/>
    <xf numFmtId="0" fontId="5" fillId="0" borderId="13" xfId="0" applyFont="1" applyBorder="1"/>
    <xf numFmtId="0" fontId="10" fillId="0" borderId="13" xfId="0" applyFont="1" applyBorder="1" applyAlignment="1">
      <alignment vertical="top" wrapText="1"/>
    </xf>
    <xf numFmtId="0" fontId="2" fillId="0" borderId="13" xfId="0" applyFont="1" applyBorder="1"/>
    <xf numFmtId="0" fontId="5" fillId="0" borderId="13" xfId="0" applyFont="1" applyFill="1" applyBorder="1"/>
    <xf numFmtId="0" fontId="7" fillId="0" borderId="13" xfId="0" applyFont="1" applyFill="1" applyBorder="1"/>
    <xf numFmtId="0" fontId="8" fillId="0" borderId="13" xfId="0" applyFont="1" applyBorder="1"/>
    <xf numFmtId="0" fontId="6" fillId="0" borderId="13" xfId="0" applyFont="1" applyFill="1" applyBorder="1"/>
    <xf numFmtId="0" fontId="0" fillId="0" borderId="13" xfId="0" applyFont="1" applyFill="1" applyBorder="1"/>
    <xf numFmtId="0" fontId="7" fillId="0" borderId="13" xfId="0" applyFont="1" applyBorder="1"/>
    <xf numFmtId="0" fontId="6" fillId="0" borderId="13" xfId="0" applyFont="1" applyBorder="1"/>
    <xf numFmtId="0" fontId="2" fillId="0" borderId="13" xfId="0" applyFont="1" applyFill="1" applyBorder="1"/>
    <xf numFmtId="0" fontId="9" fillId="0" borderId="13" xfId="0" applyFont="1" applyFill="1" applyBorder="1"/>
    <xf numFmtId="0" fontId="8" fillId="0" borderId="13" xfId="0" applyFont="1" applyFill="1" applyBorder="1"/>
    <xf numFmtId="0" fontId="0" fillId="0" borderId="41" xfId="0" applyFont="1" applyBorder="1"/>
    <xf numFmtId="0" fontId="6" fillId="2" borderId="38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0" fillId="0" borderId="17" xfId="0" applyBorder="1"/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5" fillId="6" borderId="13" xfId="0" applyFont="1" applyFill="1" applyBorder="1"/>
    <xf numFmtId="0" fontId="0" fillId="6" borderId="13" xfId="0" applyFont="1" applyFill="1" applyBorder="1"/>
    <xf numFmtId="0" fontId="0" fillId="6" borderId="13" xfId="0" applyFill="1" applyBorder="1"/>
    <xf numFmtId="0" fontId="8" fillId="6" borderId="13" xfId="0" applyFont="1" applyFill="1" applyBorder="1"/>
    <xf numFmtId="0" fontId="7" fillId="6" borderId="13" xfId="0" applyFont="1" applyFill="1" applyBorder="1"/>
    <xf numFmtId="0" fontId="3" fillId="0" borderId="20" xfId="0" applyFont="1" applyBorder="1"/>
    <xf numFmtId="0" fontId="3" fillId="0" borderId="26" xfId="0" applyFont="1" applyBorder="1"/>
    <xf numFmtId="0" fontId="5" fillId="0" borderId="0" xfId="0" applyFont="1" applyBorder="1"/>
    <xf numFmtId="0" fontId="5" fillId="0" borderId="11" xfId="0" applyFont="1" applyBorder="1"/>
    <xf numFmtId="0" fontId="5" fillId="6" borderId="11" xfId="0" applyFont="1" applyFill="1" applyBorder="1"/>
    <xf numFmtId="0" fontId="5" fillId="0" borderId="43" xfId="0" applyFont="1" applyBorder="1"/>
    <xf numFmtId="0" fontId="0" fillId="0" borderId="44" xfId="0" applyFont="1" applyBorder="1"/>
    <xf numFmtId="0" fontId="3" fillId="0" borderId="24" xfId="0" applyFont="1" applyBorder="1"/>
    <xf numFmtId="0" fontId="0" fillId="0" borderId="45" xfId="0" applyFont="1" applyBorder="1"/>
    <xf numFmtId="0" fontId="0" fillId="0" borderId="14" xfId="0" applyFont="1" applyBorder="1"/>
    <xf numFmtId="0" fontId="5" fillId="0" borderId="14" xfId="0" applyFont="1" applyBorder="1"/>
    <xf numFmtId="0" fontId="25" fillId="0" borderId="14" xfId="0" applyFont="1" applyBorder="1"/>
    <xf numFmtId="0" fontId="25" fillId="0" borderId="46" xfId="0" applyFont="1" applyBorder="1"/>
    <xf numFmtId="0" fontId="25" fillId="0" borderId="6" xfId="0" applyFont="1" applyBorder="1"/>
    <xf numFmtId="0" fontId="5" fillId="6" borderId="14" xfId="0" applyFont="1" applyFill="1" applyBorder="1"/>
    <xf numFmtId="0" fontId="6" fillId="6" borderId="14" xfId="0" applyFont="1" applyFill="1" applyBorder="1" applyAlignment="1">
      <alignment horizontal="left"/>
    </xf>
    <xf numFmtId="0" fontId="5" fillId="0" borderId="46" xfId="0" applyFont="1" applyBorder="1"/>
    <xf numFmtId="0" fontId="3" fillId="0" borderId="1" xfId="0" applyFont="1" applyBorder="1"/>
    <xf numFmtId="0" fontId="3" fillId="0" borderId="42" xfId="0" applyFont="1" applyBorder="1"/>
    <xf numFmtId="0" fontId="3" fillId="0" borderId="9" xfId="0" applyFont="1" applyBorder="1"/>
    <xf numFmtId="0" fontId="3" fillId="0" borderId="9" xfId="0" applyFont="1" applyFill="1" applyBorder="1"/>
    <xf numFmtId="0" fontId="24" fillId="0" borderId="1" xfId="0" applyFont="1" applyBorder="1"/>
    <xf numFmtId="0" fontId="0" fillId="0" borderId="7" xfId="0" applyBorder="1"/>
    <xf numFmtId="0" fontId="23" fillId="0" borderId="9" xfId="0" applyFont="1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0" fillId="0" borderId="2" xfId="0" applyBorder="1"/>
    <xf numFmtId="0" fontId="0" fillId="0" borderId="8" xfId="0" applyBorder="1"/>
    <xf numFmtId="0" fontId="0" fillId="0" borderId="0" xfId="0" applyAlignment="1"/>
    <xf numFmtId="0" fontId="0" fillId="0" borderId="12" xfId="0" applyBorder="1" applyAlignment="1">
      <alignment horizontal="center"/>
    </xf>
    <xf numFmtId="0" fontId="11" fillId="0" borderId="12" xfId="0" applyFont="1" applyBorder="1"/>
    <xf numFmtId="0" fontId="23" fillId="0" borderId="12" xfId="0" applyFont="1" applyBorder="1" applyAlignment="1"/>
    <xf numFmtId="0" fontId="0" fillId="0" borderId="9" xfId="0" applyBorder="1" applyAlignment="1">
      <alignment horizontal="center"/>
    </xf>
    <xf numFmtId="0" fontId="11" fillId="0" borderId="9" xfId="0" applyFont="1" applyBorder="1"/>
    <xf numFmtId="0" fontId="23" fillId="0" borderId="10" xfId="0" applyFont="1" applyBorder="1" applyAlignment="1"/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6" borderId="13" xfId="0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5" fillId="0" borderId="12" xfId="0" applyFont="1" applyFill="1" applyBorder="1"/>
    <xf numFmtId="0" fontId="25" fillId="0" borderId="13" xfId="0" applyFont="1" applyFill="1" applyBorder="1"/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6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Fill="1" applyBorder="1"/>
    <xf numFmtId="0" fontId="9" fillId="0" borderId="12" xfId="0" applyFont="1" applyFill="1" applyBorder="1" applyAlignment="1">
      <alignment horizontal="left"/>
    </xf>
    <xf numFmtId="0" fontId="5" fillId="6" borderId="1" xfId="0" applyFont="1" applyFill="1" applyBorder="1"/>
    <xf numFmtId="0" fontId="0" fillId="0" borderId="1" xfId="0" applyBorder="1" applyAlignment="1">
      <alignment horizontal="left"/>
    </xf>
    <xf numFmtId="0" fontId="6" fillId="2" borderId="3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5" fillId="6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4" xfId="0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0" fillId="4" borderId="9" xfId="0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right" vertical="center"/>
    </xf>
    <xf numFmtId="0" fontId="9" fillId="7" borderId="19" xfId="0" applyFont="1" applyFill="1" applyBorder="1" applyAlignment="1">
      <alignment horizontal="left" vertical="center"/>
    </xf>
    <xf numFmtId="0" fontId="9" fillId="7" borderId="19" xfId="0" applyFont="1" applyFill="1" applyBorder="1" applyAlignment="1">
      <alignment horizontal="right" vertical="center"/>
    </xf>
    <xf numFmtId="0" fontId="18" fillId="7" borderId="1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top"/>
    </xf>
    <xf numFmtId="0" fontId="29" fillId="4" borderId="37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 applyAlignment="1"/>
    <xf numFmtId="0" fontId="6" fillId="0" borderId="0" xfId="0" applyFont="1" applyBorder="1" applyAlignment="1"/>
    <xf numFmtId="0" fontId="6" fillId="5" borderId="0" xfId="0" applyFont="1" applyFill="1" applyBorder="1" applyAlignment="1"/>
    <xf numFmtId="0" fontId="0" fillId="5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32" fillId="0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7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2" borderId="19" xfId="0" applyFont="1" applyFill="1" applyBorder="1"/>
    <xf numFmtId="0" fontId="6" fillId="2" borderId="19" xfId="0" applyFont="1" applyFill="1" applyBorder="1" applyAlignment="1">
      <alignment vertical="top"/>
    </xf>
    <xf numFmtId="0" fontId="6" fillId="2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/>
    </xf>
    <xf numFmtId="0" fontId="9" fillId="2" borderId="19" xfId="0" applyFont="1" applyFill="1" applyBorder="1" applyAlignment="1">
      <alignment vertical="top"/>
    </xf>
    <xf numFmtId="0" fontId="6" fillId="3" borderId="28" xfId="0" applyFont="1" applyFill="1" applyBorder="1" applyAlignment="1">
      <alignment vertical="center"/>
    </xf>
    <xf numFmtId="0" fontId="0" fillId="3" borderId="19" xfId="0" applyFill="1" applyBorder="1" applyAlignment="1"/>
    <xf numFmtId="0" fontId="0" fillId="3" borderId="20" xfId="0" applyFill="1" applyBorder="1" applyAlignment="1">
      <alignment horizontal="right"/>
    </xf>
    <xf numFmtId="0" fontId="6" fillId="3" borderId="30" xfId="0" applyFont="1" applyFill="1" applyBorder="1" applyAlignment="1">
      <alignment vertical="center"/>
    </xf>
    <xf numFmtId="0" fontId="0" fillId="3" borderId="0" xfId="0" applyFill="1" applyAlignment="1"/>
    <xf numFmtId="0" fontId="0" fillId="3" borderId="2" xfId="0" applyFill="1" applyBorder="1" applyAlignment="1">
      <alignment horizontal="right"/>
    </xf>
    <xf numFmtId="0" fontId="6" fillId="3" borderId="53" xfId="0" applyFont="1" applyFill="1" applyBorder="1" applyAlignment="1">
      <alignment vertical="center"/>
    </xf>
    <xf numFmtId="0" fontId="6" fillId="3" borderId="54" xfId="0" applyFont="1" applyFill="1" applyBorder="1" applyAlignment="1">
      <alignment vertical="center"/>
    </xf>
    <xf numFmtId="0" fontId="6" fillId="3" borderId="55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right" vertical="top"/>
    </xf>
    <xf numFmtId="0" fontId="35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right" vertical="top" wrapText="1"/>
    </xf>
    <xf numFmtId="0" fontId="0" fillId="0" borderId="1" xfId="0" applyFill="1" applyBorder="1"/>
    <xf numFmtId="0" fontId="15" fillId="4" borderId="3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top" wrapText="1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6" borderId="47" xfId="0" applyFont="1" applyFill="1" applyBorder="1" applyAlignment="1" applyProtection="1">
      <alignment vertical="top"/>
      <protection locked="0"/>
    </xf>
    <xf numFmtId="0" fontId="6" fillId="6" borderId="34" xfId="0" applyFont="1" applyFill="1" applyBorder="1" applyAlignment="1" applyProtection="1">
      <alignment vertical="top"/>
      <protection locked="0"/>
    </xf>
    <xf numFmtId="0" fontId="6" fillId="6" borderId="49" xfId="0" applyFont="1" applyFill="1" applyBorder="1" applyAlignment="1" applyProtection="1">
      <alignment vertical="top"/>
      <protection locked="0"/>
    </xf>
    <xf numFmtId="0" fontId="0" fillId="6" borderId="47" xfId="0" applyFill="1" applyBorder="1" applyAlignment="1" applyProtection="1">
      <alignment vertical="top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7" borderId="0" xfId="0" applyFont="1" applyFill="1" applyProtection="1">
      <protection locked="0"/>
    </xf>
    <xf numFmtId="0" fontId="6" fillId="6" borderId="1" xfId="0" applyFont="1" applyFill="1" applyBorder="1" applyAlignment="1" applyProtection="1">
      <alignment horizontal="right" vertical="center" indent="1"/>
      <protection locked="0"/>
    </xf>
    <xf numFmtId="0" fontId="3" fillId="0" borderId="25" xfId="0" applyFont="1" applyBorder="1" applyAlignment="1">
      <alignment horizontal="center"/>
    </xf>
    <xf numFmtId="0" fontId="37" fillId="4" borderId="19" xfId="1" applyFont="1" applyFill="1" applyBorder="1" applyAlignment="1" applyProtection="1">
      <alignment vertical="center"/>
    </xf>
    <xf numFmtId="0" fontId="15" fillId="4" borderId="25" xfId="0" applyFont="1" applyFill="1" applyBorder="1" applyAlignment="1">
      <alignment horizontal="center" vertical="center"/>
    </xf>
    <xf numFmtId="0" fontId="0" fillId="0" borderId="14" xfId="0" applyBorder="1"/>
    <xf numFmtId="0" fontId="0" fillId="6" borderId="14" xfId="0" applyFont="1" applyFill="1" applyBorder="1"/>
    <xf numFmtId="0" fontId="0" fillId="0" borderId="46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25" xfId="0" applyBorder="1"/>
    <xf numFmtId="0" fontId="0" fillId="0" borderId="33" xfId="0" applyBorder="1"/>
    <xf numFmtId="0" fontId="9" fillId="2" borderId="0" xfId="0" applyFont="1" applyFill="1" applyBorder="1" applyAlignment="1">
      <alignment vertical="top"/>
    </xf>
    <xf numFmtId="0" fontId="29" fillId="2" borderId="0" xfId="0" applyFont="1" applyFill="1" applyBorder="1"/>
    <xf numFmtId="0" fontId="29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/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4" borderId="0" xfId="0" applyFont="1" applyFill="1" applyBorder="1"/>
    <xf numFmtId="0" fontId="9" fillId="4" borderId="4" xfId="0" applyFont="1" applyFill="1" applyBorder="1" applyAlignment="1">
      <alignment vertical="center" wrapText="1"/>
    </xf>
    <xf numFmtId="0" fontId="29" fillId="4" borderId="4" xfId="0" applyFont="1" applyFill="1" applyBorder="1" applyAlignment="1">
      <alignment horizontal="center" vertical="top" wrapText="1"/>
    </xf>
    <xf numFmtId="0" fontId="29" fillId="6" borderId="0" xfId="0" applyFont="1" applyFill="1" applyBorder="1" applyAlignment="1">
      <alignment vertical="center"/>
    </xf>
    <xf numFmtId="0" fontId="29" fillId="0" borderId="0" xfId="0" applyFont="1" applyFill="1" applyBorder="1"/>
    <xf numFmtId="0" fontId="15" fillId="2" borderId="0" xfId="0" applyFont="1" applyFill="1" applyBorder="1"/>
    <xf numFmtId="0" fontId="39" fillId="2" borderId="0" xfId="0" applyFont="1" applyFill="1" applyBorder="1"/>
    <xf numFmtId="0" fontId="29" fillId="2" borderId="7" xfId="0" applyFont="1" applyFill="1" applyBorder="1"/>
    <xf numFmtId="0" fontId="29" fillId="2" borderId="0" xfId="0" applyFont="1" applyFill="1" applyBorder="1" applyAlignment="1">
      <alignment wrapText="1"/>
    </xf>
    <xf numFmtId="0" fontId="29" fillId="2" borderId="0" xfId="0" applyFont="1" applyFill="1" applyBorder="1" applyAlignment="1">
      <alignment horizontal="left" wrapText="1"/>
    </xf>
    <xf numFmtId="0" fontId="29" fillId="6" borderId="13" xfId="0" applyFont="1" applyFill="1" applyBorder="1"/>
    <xf numFmtId="0" fontId="43" fillId="2" borderId="0" xfId="0" applyFont="1" applyFill="1" applyBorder="1" applyAlignment="1">
      <alignment horizontal="left" vertical="top"/>
    </xf>
    <xf numFmtId="0" fontId="3" fillId="0" borderId="28" xfId="0" applyFont="1" applyBorder="1" applyAlignment="1"/>
    <xf numFmtId="0" fontId="3" fillId="0" borderId="19" xfId="0" applyFont="1" applyBorder="1" applyAlignment="1"/>
    <xf numFmtId="0" fontId="3" fillId="0" borderId="29" xfId="0" applyFont="1" applyBorder="1" applyAlignment="1"/>
    <xf numFmtId="0" fontId="6" fillId="2" borderId="28" xfId="0" applyFont="1" applyFill="1" applyBorder="1"/>
    <xf numFmtId="0" fontId="6" fillId="2" borderId="17" xfId="0" applyFont="1" applyFill="1" applyBorder="1" applyAlignment="1"/>
    <xf numFmtId="0" fontId="6" fillId="2" borderId="19" xfId="0" applyFont="1" applyFill="1" applyBorder="1" applyAlignment="1"/>
    <xf numFmtId="0" fontId="6" fillId="2" borderId="20" xfId="0" applyFont="1" applyFill="1" applyBorder="1" applyAlignment="1"/>
    <xf numFmtId="0" fontId="6" fillId="2" borderId="17" xfId="0" applyFont="1" applyFill="1" applyBorder="1" applyAlignment="1">
      <alignment horizontal="center" vertical="top" wrapText="1"/>
    </xf>
    <xf numFmtId="0" fontId="0" fillId="0" borderId="36" xfId="0" applyBorder="1"/>
    <xf numFmtId="0" fontId="0" fillId="0" borderId="37" xfId="0" applyBorder="1"/>
    <xf numFmtId="0" fontId="0" fillId="0" borderId="59" xfId="0" applyFont="1" applyBorder="1"/>
    <xf numFmtId="0" fontId="0" fillId="0" borderId="60" xfId="0" applyBorder="1"/>
    <xf numFmtId="0" fontId="0" fillId="0" borderId="61" xfId="0" applyFont="1" applyBorder="1"/>
    <xf numFmtId="0" fontId="0" fillId="0" borderId="34" xfId="0" applyBorder="1"/>
    <xf numFmtId="0" fontId="0" fillId="0" borderId="34" xfId="0" applyFont="1" applyBorder="1"/>
    <xf numFmtId="0" fontId="0" fillId="0" borderId="61" xfId="0" applyBorder="1"/>
    <xf numFmtId="0" fontId="0" fillId="0" borderId="13" xfId="0" applyBorder="1" applyAlignment="1">
      <alignment wrapText="1"/>
    </xf>
    <xf numFmtId="0" fontId="0" fillId="0" borderId="62" xfId="0" applyFont="1" applyBorder="1"/>
    <xf numFmtId="0" fontId="0" fillId="0" borderId="63" xfId="0" applyFont="1" applyBorder="1"/>
    <xf numFmtId="0" fontId="0" fillId="0" borderId="32" xfId="0" applyBorder="1"/>
    <xf numFmtId="0" fontId="36" fillId="0" borderId="0" xfId="1" applyAlignment="1" applyProtection="1">
      <alignment horizontal="justify"/>
    </xf>
    <xf numFmtId="0" fontId="0" fillId="0" borderId="59" xfId="0" applyFont="1" applyBorder="1" applyAlignment="1">
      <alignment horizontal="justify"/>
    </xf>
    <xf numFmtId="0" fontId="0" fillId="0" borderId="61" xfId="0" applyFont="1" applyBorder="1" applyAlignment="1">
      <alignment horizontal="justify"/>
    </xf>
    <xf numFmtId="0" fontId="0" fillId="0" borderId="34" xfId="0" applyFont="1" applyBorder="1" applyAlignment="1">
      <alignment horizontal="justify"/>
    </xf>
    <xf numFmtId="0" fontId="0" fillId="0" borderId="34" xfId="0" applyBorder="1" applyAlignment="1">
      <alignment horizontal="justify"/>
    </xf>
    <xf numFmtId="0" fontId="0" fillId="0" borderId="62" xfId="0" applyBorder="1"/>
    <xf numFmtId="0" fontId="0" fillId="0" borderId="63" xfId="0" applyBorder="1"/>
    <xf numFmtId="0" fontId="0" fillId="0" borderId="45" xfId="0" applyFont="1" applyBorder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57" xfId="0" applyBorder="1"/>
    <xf numFmtId="0" fontId="0" fillId="0" borderId="64" xfId="0" applyBorder="1"/>
    <xf numFmtId="0" fontId="0" fillId="0" borderId="47" xfId="0" applyBorder="1"/>
    <xf numFmtId="0" fontId="0" fillId="0" borderId="41" xfId="0" applyBorder="1"/>
    <xf numFmtId="0" fontId="0" fillId="9" borderId="13" xfId="0" applyFill="1" applyBorder="1"/>
    <xf numFmtId="0" fontId="6" fillId="9" borderId="13" xfId="0" applyFont="1" applyFill="1" applyBorder="1" applyProtection="1">
      <protection locked="0"/>
    </xf>
    <xf numFmtId="0" fontId="0" fillId="10" borderId="1" xfId="0" applyFill="1" applyBorder="1"/>
    <xf numFmtId="0" fontId="0" fillId="10" borderId="0" xfId="0" applyFill="1" applyBorder="1"/>
    <xf numFmtId="0" fontId="0" fillId="10" borderId="2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0" fillId="10" borderId="0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0" borderId="0" xfId="0" applyFont="1" applyFill="1" applyBorder="1" applyProtection="1">
      <protection locked="0"/>
    </xf>
    <xf numFmtId="0" fontId="0" fillId="10" borderId="0" xfId="0" applyFill="1" applyBorder="1" applyAlignment="1" applyProtection="1">
      <protection locked="0"/>
    </xf>
    <xf numFmtId="0" fontId="0" fillId="10" borderId="0" xfId="0" applyFill="1" applyBorder="1" applyAlignment="1" applyProtection="1">
      <alignment horizontal="left"/>
      <protection locked="0"/>
    </xf>
    <xf numFmtId="0" fontId="0" fillId="10" borderId="2" xfId="0" applyFill="1" applyBorder="1" applyAlignment="1" applyProtection="1">
      <alignment horizontal="left"/>
      <protection locked="0"/>
    </xf>
    <xf numFmtId="0" fontId="3" fillId="10" borderId="1" xfId="0" applyFont="1" applyFill="1" applyBorder="1"/>
    <xf numFmtId="0" fontId="0" fillId="10" borderId="0" xfId="0" applyFont="1" applyFill="1" applyBorder="1" applyAlignment="1">
      <alignment horizontal="left" vertical="center"/>
    </xf>
    <xf numFmtId="0" fontId="46" fillId="10" borderId="0" xfId="0" applyFont="1" applyFill="1" applyBorder="1"/>
    <xf numFmtId="0" fontId="0" fillId="10" borderId="0" xfId="0" applyFill="1"/>
    <xf numFmtId="0" fontId="51" fillId="10" borderId="0" xfId="0" applyFont="1" applyFill="1" applyBorder="1"/>
    <xf numFmtId="0" fontId="48" fillId="10" borderId="0" xfId="0" applyFont="1" applyFill="1" applyBorder="1"/>
    <xf numFmtId="0" fontId="48" fillId="1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0" fontId="54" fillId="10" borderId="0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center" vertical="center"/>
    </xf>
    <xf numFmtId="0" fontId="56" fillId="10" borderId="1" xfId="0" applyFont="1" applyFill="1" applyBorder="1"/>
    <xf numFmtId="0" fontId="46" fillId="10" borderId="1" xfId="0" applyFont="1" applyFill="1" applyBorder="1"/>
    <xf numFmtId="0" fontId="53" fillId="10" borderId="0" xfId="0" applyFont="1" applyFill="1" applyBorder="1"/>
    <xf numFmtId="0" fontId="46" fillId="10" borderId="2" xfId="0" applyFont="1" applyFill="1" applyBorder="1"/>
    <xf numFmtId="0" fontId="9" fillId="10" borderId="1" xfId="0" applyFont="1" applyFill="1" applyBorder="1" applyAlignment="1">
      <alignment horizontal="left"/>
    </xf>
    <xf numFmtId="0" fontId="29" fillId="10" borderId="2" xfId="0" applyFont="1" applyFill="1" applyBorder="1" applyAlignment="1">
      <alignment horizontal="center"/>
    </xf>
    <xf numFmtId="0" fontId="53" fillId="10" borderId="0" xfId="0" applyFont="1" applyFill="1" applyBorder="1" applyAlignment="1"/>
    <xf numFmtId="0" fontId="53" fillId="10" borderId="0" xfId="0" applyFont="1" applyFill="1" applyBorder="1" applyAlignment="1">
      <alignment horizontal="center"/>
    </xf>
    <xf numFmtId="0" fontId="0" fillId="10" borderId="1" xfId="0" applyFill="1" applyBorder="1" applyAlignment="1"/>
    <xf numFmtId="0" fontId="57" fillId="10" borderId="4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0" fillId="3" borderId="0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6" xfId="0" applyFill="1" applyBorder="1"/>
    <xf numFmtId="0" fontId="57" fillId="3" borderId="14" xfId="0" applyFont="1" applyFill="1" applyBorder="1" applyAlignment="1">
      <alignment vertical="center"/>
    </xf>
    <xf numFmtId="0" fontId="57" fillId="3" borderId="15" xfId="0" applyFont="1" applyFill="1" applyBorder="1" applyAlignment="1">
      <alignment vertical="center"/>
    </xf>
    <xf numFmtId="0" fontId="57" fillId="3" borderId="11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top"/>
    </xf>
    <xf numFmtId="0" fontId="57" fillId="0" borderId="0" xfId="0" applyFont="1"/>
    <xf numFmtId="0" fontId="59" fillId="0" borderId="0" xfId="0" applyFont="1"/>
    <xf numFmtId="0" fontId="0" fillId="0" borderId="0" xfId="0" applyAlignment="1">
      <alignment vertical="center"/>
    </xf>
    <xf numFmtId="0" fontId="61" fillId="0" borderId="0" xfId="0" applyFont="1"/>
    <xf numFmtId="0" fontId="0" fillId="10" borderId="1" xfId="0" applyFill="1" applyBorder="1" applyProtection="1">
      <protection locked="0"/>
    </xf>
    <xf numFmtId="0" fontId="0" fillId="10" borderId="0" xfId="0" applyFont="1" applyFill="1" applyBorder="1"/>
    <xf numFmtId="0" fontId="44" fillId="0" borderId="0" xfId="0" applyFont="1" applyFill="1" applyBorder="1" applyAlignment="1">
      <alignment horizontal="left" vertical="center"/>
    </xf>
    <xf numFmtId="0" fontId="3" fillId="10" borderId="3" xfId="0" applyFont="1" applyFill="1" applyBorder="1"/>
    <xf numFmtId="0" fontId="3" fillId="10" borderId="4" xfId="0" applyFont="1" applyFill="1" applyBorder="1" applyAlignment="1"/>
    <xf numFmtId="0" fontId="3" fillId="10" borderId="15" xfId="0" applyFont="1" applyFill="1" applyBorder="1"/>
    <xf numFmtId="0" fontId="0" fillId="10" borderId="68" xfId="0" applyFill="1" applyBorder="1"/>
    <xf numFmtId="0" fontId="0" fillId="10" borderId="68" xfId="0" applyFont="1" applyFill="1" applyBorder="1"/>
    <xf numFmtId="0" fontId="0" fillId="10" borderId="4" xfId="0" applyFont="1" applyFill="1" applyBorder="1"/>
    <xf numFmtId="0" fontId="0" fillId="10" borderId="7" xfId="0" applyFont="1" applyFill="1" applyBorder="1"/>
    <xf numFmtId="0" fontId="36" fillId="0" borderId="0" xfId="1" applyAlignment="1" applyProtection="1">
      <alignment vertical="center"/>
    </xf>
    <xf numFmtId="0" fontId="0" fillId="0" borderId="0" xfId="0" applyBorder="1" applyAlignment="1">
      <alignment vertical="center"/>
    </xf>
    <xf numFmtId="0" fontId="67" fillId="10" borderId="1" xfId="0" applyFont="1" applyFill="1" applyBorder="1" applyAlignment="1">
      <alignment horizontal="center"/>
    </xf>
    <xf numFmtId="0" fontId="68" fillId="10" borderId="1" xfId="0" applyFont="1" applyFill="1" applyBorder="1" applyAlignment="1">
      <alignment horizontal="center"/>
    </xf>
    <xf numFmtId="0" fontId="68" fillId="10" borderId="1" xfId="0" applyFont="1" applyFill="1" applyBorder="1"/>
    <xf numFmtId="0" fontId="68" fillId="10" borderId="0" xfId="0" applyFont="1" applyFill="1" applyBorder="1"/>
    <xf numFmtId="0" fontId="68" fillId="10" borderId="0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center"/>
    </xf>
    <xf numFmtId="0" fontId="68" fillId="10" borderId="0" xfId="0" applyFont="1" applyFill="1" applyBorder="1" applyAlignment="1">
      <alignment horizontal="center"/>
    </xf>
    <xf numFmtId="0" fontId="69" fillId="10" borderId="1" xfId="0" applyFont="1" applyFill="1" applyBorder="1"/>
    <xf numFmtId="0" fontId="26" fillId="10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left"/>
    </xf>
    <xf numFmtId="0" fontId="54" fillId="10" borderId="0" xfId="0" applyFont="1" applyFill="1" applyBorder="1" applyAlignment="1">
      <alignment horizontal="left"/>
    </xf>
    <xf numFmtId="0" fontId="0" fillId="10" borderId="14" xfId="0" applyFill="1" applyBorder="1" applyProtection="1">
      <protection locked="0"/>
    </xf>
    <xf numFmtId="0" fontId="69" fillId="10" borderId="15" xfId="0" applyFont="1" applyFill="1" applyBorder="1" applyAlignment="1" applyProtection="1">
      <alignment vertical="top"/>
      <protection locked="0"/>
    </xf>
    <xf numFmtId="0" fontId="3" fillId="10" borderId="15" xfId="0" applyFont="1" applyFill="1" applyBorder="1" applyAlignment="1" applyProtection="1">
      <alignment vertical="top"/>
      <protection locked="0"/>
    </xf>
    <xf numFmtId="0" fontId="3" fillId="10" borderId="15" xfId="0" applyFont="1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66" fillId="10" borderId="1" xfId="0" applyFont="1" applyFill="1" applyBorder="1" applyProtection="1">
      <protection locked="0"/>
    </xf>
    <xf numFmtId="0" fontId="66" fillId="10" borderId="0" xfId="0" applyFont="1" applyFill="1" applyBorder="1" applyProtection="1">
      <protection locked="0"/>
    </xf>
    <xf numFmtId="0" fontId="62" fillId="10" borderId="1" xfId="0" applyFont="1" applyFill="1" applyBorder="1" applyProtection="1">
      <protection locked="0"/>
    </xf>
    <xf numFmtId="0" fontId="63" fillId="10" borderId="1" xfId="0" applyFont="1" applyFill="1" applyBorder="1" applyProtection="1">
      <protection locked="0"/>
    </xf>
    <xf numFmtId="0" fontId="57" fillId="10" borderId="0" xfId="0" applyFont="1" applyFill="1" applyBorder="1" applyProtection="1">
      <protection locked="0"/>
    </xf>
    <xf numFmtId="0" fontId="60" fillId="10" borderId="0" xfId="0" applyFont="1" applyFill="1" applyBorder="1" applyAlignment="1" applyProtection="1">
      <protection locked="0"/>
    </xf>
    <xf numFmtId="0" fontId="57" fillId="10" borderId="2" xfId="0" applyFont="1" applyFill="1" applyBorder="1" applyProtection="1">
      <protection locked="0"/>
    </xf>
    <xf numFmtId="0" fontId="57" fillId="10" borderId="1" xfId="0" applyFont="1" applyFill="1" applyBorder="1" applyProtection="1">
      <protection locked="0"/>
    </xf>
    <xf numFmtId="0" fontId="57" fillId="10" borderId="0" xfId="0" applyFont="1" applyFill="1" applyBorder="1" applyAlignment="1" applyProtection="1">
      <protection locked="0"/>
    </xf>
    <xf numFmtId="0" fontId="68" fillId="10" borderId="0" xfId="0" applyFont="1" applyFill="1" applyBorder="1" applyAlignment="1" applyProtection="1">
      <alignment horizontal="center"/>
      <protection locked="0"/>
    </xf>
    <xf numFmtId="0" fontId="0" fillId="10" borderId="7" xfId="0" applyFill="1" applyBorder="1" applyProtection="1">
      <protection locked="0"/>
    </xf>
    <xf numFmtId="0" fontId="0" fillId="10" borderId="7" xfId="0" quotePrefix="1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69" fillId="10" borderId="15" xfId="0" applyFont="1" applyFill="1" applyBorder="1" applyAlignment="1" applyProtection="1"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64" fillId="10" borderId="15" xfId="0" applyFont="1" applyFill="1" applyBorder="1" applyAlignment="1" applyProtection="1">
      <alignment vertical="center"/>
      <protection locked="0"/>
    </xf>
    <xf numFmtId="0" fontId="64" fillId="10" borderId="15" xfId="0" applyFont="1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4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4" xfId="0" applyFill="1" applyBorder="1" applyAlignment="1" applyProtection="1">
      <alignment vertical="top"/>
      <protection locked="0"/>
    </xf>
    <xf numFmtId="0" fontId="0" fillId="10" borderId="0" xfId="0" applyFill="1" applyBorder="1" applyAlignment="1" applyProtection="1">
      <alignment vertical="center"/>
      <protection locked="0"/>
    </xf>
    <xf numFmtId="0" fontId="57" fillId="10" borderId="0" xfId="0" quotePrefix="1" applyFont="1" applyFill="1" applyBorder="1" applyAlignment="1" applyProtection="1">
      <alignment vertical="top"/>
      <protection locked="0"/>
    </xf>
    <xf numFmtId="0" fontId="0" fillId="10" borderId="1" xfId="0" applyFill="1" applyBorder="1" applyAlignment="1" applyProtection="1">
      <alignment vertical="center"/>
      <protection locked="0"/>
    </xf>
    <xf numFmtId="0" fontId="0" fillId="10" borderId="2" xfId="0" applyFill="1" applyBorder="1" applyAlignment="1" applyProtection="1">
      <alignment vertical="center"/>
      <protection locked="0"/>
    </xf>
    <xf numFmtId="0" fontId="46" fillId="10" borderId="0" xfId="0" quotePrefix="1" applyFont="1" applyFill="1" applyBorder="1" applyAlignment="1" applyProtection="1">
      <alignment vertical="center"/>
      <protection locked="0"/>
    </xf>
    <xf numFmtId="0" fontId="69" fillId="10" borderId="15" xfId="0" applyFont="1" applyFill="1" applyBorder="1" applyAlignment="1" applyProtection="1">
      <alignment vertical="center"/>
      <protection locked="0"/>
    </xf>
    <xf numFmtId="0" fontId="57" fillId="10" borderId="15" xfId="0" applyFont="1" applyFill="1" applyBorder="1" applyProtection="1">
      <protection locked="0"/>
    </xf>
    <xf numFmtId="0" fontId="57" fillId="10" borderId="4" xfId="0" applyFont="1" applyFill="1" applyBorder="1" applyProtection="1">
      <protection locked="0"/>
    </xf>
    <xf numFmtId="0" fontId="46" fillId="10" borderId="0" xfId="0" applyFont="1" applyFill="1" applyBorder="1" applyProtection="1">
      <protection locked="0"/>
    </xf>
    <xf numFmtId="0" fontId="46" fillId="10" borderId="2" xfId="0" applyFont="1" applyFill="1" applyBorder="1" applyProtection="1">
      <protection locked="0"/>
    </xf>
    <xf numFmtId="0" fontId="57" fillId="10" borderId="0" xfId="0" quotePrefix="1" applyFont="1" applyFill="1" applyBorder="1" applyProtection="1">
      <protection locked="0"/>
    </xf>
    <xf numFmtId="0" fontId="0" fillId="10" borderId="0" xfId="0" quotePrefix="1" applyFill="1" applyBorder="1" applyProtection="1">
      <protection locked="0"/>
    </xf>
    <xf numFmtId="0" fontId="57" fillId="10" borderId="2" xfId="0" quotePrefix="1" applyFont="1" applyFill="1" applyBorder="1" applyProtection="1">
      <protection locked="0"/>
    </xf>
    <xf numFmtId="0" fontId="57" fillId="10" borderId="0" xfId="0" applyFont="1" applyFill="1" applyBorder="1" applyAlignment="1" applyProtection="1">
      <alignment vertical="center"/>
      <protection locked="0"/>
    </xf>
    <xf numFmtId="0" fontId="57" fillId="10" borderId="0" xfId="0" quotePrefix="1" applyFont="1" applyFill="1" applyBorder="1" applyAlignment="1" applyProtection="1">
      <alignment vertical="center"/>
      <protection locked="0"/>
    </xf>
    <xf numFmtId="0" fontId="0" fillId="10" borderId="0" xfId="0" applyFill="1" applyBorder="1" applyAlignment="1" applyProtection="1">
      <alignment vertical="top"/>
      <protection locked="0"/>
    </xf>
    <xf numFmtId="0" fontId="57" fillId="10" borderId="0" xfId="0" quotePrefix="1" applyFont="1" applyFill="1" applyBorder="1" applyAlignment="1" applyProtection="1">
      <alignment horizontal="right" vertical="center"/>
      <protection locked="0"/>
    </xf>
    <xf numFmtId="0" fontId="57" fillId="10" borderId="0" xfId="0" quotePrefix="1" applyFont="1" applyFill="1" applyBorder="1" applyAlignment="1" applyProtection="1">
      <alignment horizontal="center" vertical="center"/>
      <protection locked="0"/>
    </xf>
    <xf numFmtId="0" fontId="70" fillId="10" borderId="0" xfId="0" quotePrefix="1" applyFont="1" applyFill="1" applyBorder="1" applyProtection="1">
      <protection locked="0"/>
    </xf>
    <xf numFmtId="0" fontId="58" fillId="10" borderId="0" xfId="0" quotePrefix="1" applyFont="1" applyFill="1" applyBorder="1" applyAlignment="1" applyProtection="1">
      <alignment vertical="center"/>
      <protection locked="0"/>
    </xf>
    <xf numFmtId="0" fontId="0" fillId="10" borderId="6" xfId="0" applyFill="1" applyBorder="1" applyProtection="1">
      <protection locked="0"/>
    </xf>
    <xf numFmtId="0" fontId="57" fillId="10" borderId="7" xfId="0" quotePrefix="1" applyFont="1" applyFill="1" applyBorder="1" applyAlignment="1" applyProtection="1">
      <alignment vertical="center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0" fontId="57" fillId="10" borderId="4" xfId="0" applyFont="1" applyFill="1" applyBorder="1" applyAlignment="1" applyProtection="1">
      <alignment vertical="center"/>
      <protection locked="0"/>
    </xf>
    <xf numFmtId="0" fontId="56" fillId="10" borderId="1" xfId="0" applyFont="1" applyFill="1" applyBorder="1" applyProtection="1">
      <protection locked="0"/>
    </xf>
    <xf numFmtId="0" fontId="0" fillId="10" borderId="0" xfId="0" applyFill="1" applyBorder="1" applyProtection="1"/>
    <xf numFmtId="0" fontId="0" fillId="10" borderId="2" xfId="0" applyFill="1" applyBorder="1" applyProtection="1"/>
    <xf numFmtId="0" fontId="0" fillId="10" borderId="7" xfId="0" applyFill="1" applyBorder="1" applyProtection="1"/>
    <xf numFmtId="0" fontId="0" fillId="10" borderId="8" xfId="0" applyFill="1" applyBorder="1" applyProtection="1"/>
    <xf numFmtId="0" fontId="0" fillId="10" borderId="1" xfId="0" applyFill="1" applyBorder="1" applyProtection="1"/>
    <xf numFmtId="0" fontId="0" fillId="10" borderId="6" xfId="0" applyFill="1" applyBorder="1" applyProtection="1"/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43" fillId="2" borderId="30" xfId="0" applyFont="1" applyFill="1" applyBorder="1" applyAlignment="1">
      <alignment horizontal="center" vertical="top"/>
    </xf>
    <xf numFmtId="0" fontId="43" fillId="2" borderId="0" xfId="0" applyFont="1" applyFill="1" applyBorder="1" applyAlignment="1">
      <alignment horizontal="center" vertical="top"/>
    </xf>
    <xf numFmtId="0" fontId="43" fillId="2" borderId="31" xfId="0" applyFont="1" applyFill="1" applyBorder="1" applyAlignment="1">
      <alignment horizontal="center" vertical="top"/>
    </xf>
    <xf numFmtId="0" fontId="43" fillId="2" borderId="32" xfId="0" applyFont="1" applyFill="1" applyBorder="1" applyAlignment="1">
      <alignment horizontal="center" vertical="top"/>
    </xf>
    <xf numFmtId="0" fontId="43" fillId="2" borderId="25" xfId="0" applyFont="1" applyFill="1" applyBorder="1" applyAlignment="1">
      <alignment horizontal="center" vertical="top"/>
    </xf>
    <xf numFmtId="0" fontId="43" fillId="2" borderId="33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43" fillId="2" borderId="65" xfId="0" applyFont="1" applyFill="1" applyBorder="1" applyAlignment="1">
      <alignment horizontal="center" vertical="top"/>
    </xf>
    <xf numFmtId="0" fontId="43" fillId="2" borderId="4" xfId="0" applyFont="1" applyFill="1" applyBorder="1" applyAlignment="1">
      <alignment horizontal="center" vertical="top"/>
    </xf>
    <xf numFmtId="0" fontId="43" fillId="2" borderId="6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18" fillId="7" borderId="28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top"/>
    </xf>
    <xf numFmtId="0" fontId="15" fillId="4" borderId="51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vertical="center" wrapText="1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2" borderId="31" xfId="0" applyFont="1" applyFill="1" applyBorder="1" applyAlignment="1">
      <alignment horizontal="right" vertical="top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right" vertical="top" wrapText="1"/>
    </xf>
    <xf numFmtId="0" fontId="6" fillId="2" borderId="19" xfId="0" applyFont="1" applyFill="1" applyBorder="1" applyAlignment="1">
      <alignment horizontal="right" vertical="top" wrapText="1"/>
    </xf>
    <xf numFmtId="0" fontId="6" fillId="2" borderId="29" xfId="0" applyFont="1" applyFill="1" applyBorder="1" applyAlignment="1">
      <alignment horizontal="right" vertical="top" wrapText="1"/>
    </xf>
    <xf numFmtId="0" fontId="9" fillId="2" borderId="40" xfId="0" applyFont="1" applyFill="1" applyBorder="1" applyAlignment="1">
      <alignment horizontal="center" vertical="top"/>
    </xf>
    <xf numFmtId="0" fontId="2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7" borderId="25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6" fillId="2" borderId="18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29" fillId="4" borderId="4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31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quotePrefix="1" applyAlignment="1"/>
    <xf numFmtId="0" fontId="36" fillId="10" borderId="0" xfId="1" applyFill="1" applyBorder="1" applyAlignment="1" applyProtection="1"/>
    <xf numFmtId="0" fontId="71" fillId="0" borderId="0" xfId="0" applyFont="1" applyAlignment="1">
      <alignment horizontal="left" vertical="top" wrapText="1"/>
    </xf>
    <xf numFmtId="0" fontId="49" fillId="3" borderId="14" xfId="0" applyFont="1" applyFill="1" applyBorder="1" applyAlignment="1" applyProtection="1">
      <alignment horizontal="left"/>
      <protection locked="0"/>
    </xf>
    <xf numFmtId="0" fontId="49" fillId="3" borderId="15" xfId="0" applyFont="1" applyFill="1" applyBorder="1" applyAlignment="1" applyProtection="1">
      <alignment horizontal="left"/>
      <protection locked="0"/>
    </xf>
    <xf numFmtId="0" fontId="49" fillId="3" borderId="11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49" fillId="3" borderId="14" xfId="0" applyFont="1" applyFill="1" applyBorder="1" applyAlignment="1" applyProtection="1">
      <alignment horizontal="center"/>
      <protection locked="0"/>
    </xf>
    <xf numFmtId="0" fontId="49" fillId="3" borderId="15" xfId="0" applyFont="1" applyFill="1" applyBorder="1" applyAlignment="1" applyProtection="1">
      <alignment horizontal="center"/>
      <protection locked="0"/>
    </xf>
    <xf numFmtId="0" fontId="49" fillId="3" borderId="11" xfId="0" applyFont="1" applyFill="1" applyBorder="1" applyAlignment="1" applyProtection="1">
      <alignment horizontal="center"/>
      <protection locked="0"/>
    </xf>
    <xf numFmtId="0" fontId="65" fillId="10" borderId="0" xfId="0" applyFont="1" applyFill="1" applyBorder="1" applyAlignment="1">
      <alignment horizontal="left" vertical="top" wrapText="1"/>
    </xf>
    <xf numFmtId="0" fontId="65" fillId="10" borderId="2" xfId="0" applyFont="1" applyFill="1" applyBorder="1" applyAlignment="1">
      <alignment horizontal="left" vertical="top" wrapText="1"/>
    </xf>
    <xf numFmtId="0" fontId="29" fillId="4" borderId="14" xfId="0" applyFont="1" applyFill="1" applyBorder="1" applyAlignment="1">
      <alignment horizontal="left"/>
    </xf>
    <xf numFmtId="0" fontId="29" fillId="4" borderId="15" xfId="0" applyFont="1" applyFill="1" applyBorder="1" applyAlignment="1">
      <alignment horizontal="left"/>
    </xf>
    <xf numFmtId="0" fontId="29" fillId="4" borderId="11" xfId="0" applyFont="1" applyFill="1" applyBorder="1" applyAlignment="1">
      <alignment horizontal="left"/>
    </xf>
    <xf numFmtId="0" fontId="47" fillId="3" borderId="3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/>
    </xf>
    <xf numFmtId="0" fontId="47" fillId="3" borderId="7" xfId="0" applyFont="1" applyFill="1" applyBorder="1" applyAlignment="1">
      <alignment horizontal="center" vertical="center"/>
    </xf>
    <xf numFmtId="0" fontId="47" fillId="3" borderId="8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29" fillId="4" borderId="2" xfId="0" applyFont="1" applyFill="1" applyBorder="1" applyAlignment="1" applyProtection="1">
      <alignment horizontal="center"/>
      <protection locked="0"/>
    </xf>
    <xf numFmtId="0" fontId="29" fillId="4" borderId="6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 applyProtection="1">
      <alignment horizontal="center"/>
      <protection locked="0"/>
    </xf>
    <xf numFmtId="0" fontId="47" fillId="3" borderId="15" xfId="0" applyFont="1" applyFill="1" applyBorder="1" applyAlignment="1" applyProtection="1">
      <alignment horizontal="center"/>
      <protection locked="0"/>
    </xf>
    <xf numFmtId="0" fontId="47" fillId="3" borderId="11" xfId="0" applyFont="1" applyFill="1" applyBorder="1" applyAlignment="1" applyProtection="1">
      <alignment horizontal="center"/>
      <protection locked="0"/>
    </xf>
    <xf numFmtId="0" fontId="3" fillId="10" borderId="14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left"/>
    </xf>
    <xf numFmtId="0" fontId="47" fillId="3" borderId="14" xfId="0" applyFont="1" applyFill="1" applyBorder="1" applyAlignment="1" applyProtection="1">
      <alignment horizontal="left"/>
      <protection locked="0"/>
    </xf>
    <xf numFmtId="0" fontId="47" fillId="3" borderId="15" xfId="0" applyFont="1" applyFill="1" applyBorder="1" applyAlignment="1" applyProtection="1">
      <alignment horizontal="left"/>
      <protection locked="0"/>
    </xf>
    <xf numFmtId="0" fontId="47" fillId="3" borderId="11" xfId="0" applyFont="1" applyFill="1" applyBorder="1" applyAlignment="1" applyProtection="1">
      <alignment horizontal="left"/>
      <protection locked="0"/>
    </xf>
    <xf numFmtId="14" fontId="47" fillId="3" borderId="14" xfId="0" applyNumberFormat="1" applyFont="1" applyFill="1" applyBorder="1" applyAlignment="1" applyProtection="1">
      <alignment horizontal="left"/>
      <protection locked="0"/>
    </xf>
    <xf numFmtId="0" fontId="29" fillId="4" borderId="1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20" fontId="47" fillId="3" borderId="14" xfId="0" applyNumberFormat="1" applyFont="1" applyFill="1" applyBorder="1" applyAlignment="1" applyProtection="1">
      <alignment horizontal="left"/>
      <protection locked="0"/>
    </xf>
    <xf numFmtId="20" fontId="47" fillId="3" borderId="11" xfId="0" applyNumberFormat="1" applyFont="1" applyFill="1" applyBorder="1" applyAlignment="1" applyProtection="1">
      <alignment horizontal="left"/>
      <protection locked="0"/>
    </xf>
    <xf numFmtId="0" fontId="3" fillId="10" borderId="14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right"/>
    </xf>
    <xf numFmtId="14" fontId="47" fillId="3" borderId="6" xfId="0" applyNumberFormat="1" applyFont="1" applyFill="1" applyBorder="1" applyAlignment="1" applyProtection="1">
      <alignment horizontal="left"/>
      <protection locked="0"/>
    </xf>
    <xf numFmtId="14" fontId="47" fillId="3" borderId="7" xfId="0" applyNumberFormat="1" applyFont="1" applyFill="1" applyBorder="1" applyAlignment="1" applyProtection="1">
      <alignment horizontal="left"/>
      <protection locked="0"/>
    </xf>
    <xf numFmtId="14" fontId="47" fillId="3" borderId="8" xfId="0" applyNumberFormat="1" applyFont="1" applyFill="1" applyBorder="1" applyAlignment="1" applyProtection="1">
      <alignment horizontal="left"/>
      <protection locked="0"/>
    </xf>
    <xf numFmtId="0" fontId="3" fillId="10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50" fillId="12" borderId="14" xfId="0" applyFont="1" applyFill="1" applyBorder="1" applyAlignment="1">
      <alignment horizontal="center"/>
    </xf>
    <xf numFmtId="0" fontId="50" fillId="12" borderId="15" xfId="0" applyFont="1" applyFill="1" applyBorder="1" applyAlignment="1">
      <alignment horizontal="center"/>
    </xf>
    <xf numFmtId="0" fontId="50" fillId="12" borderId="11" xfId="0" applyFont="1" applyFill="1" applyBorder="1" applyAlignment="1">
      <alignment horizontal="center"/>
    </xf>
    <xf numFmtId="0" fontId="48" fillId="3" borderId="15" xfId="0" applyFont="1" applyFill="1" applyBorder="1" applyAlignment="1" applyProtection="1">
      <alignment horizontal="left"/>
      <protection locked="0"/>
    </xf>
    <xf numFmtId="0" fontId="48" fillId="3" borderId="11" xfId="0" applyFont="1" applyFill="1" applyBorder="1" applyAlignment="1" applyProtection="1">
      <alignment horizontal="left"/>
      <protection locked="0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0" xfId="1" applyAlignment="1" applyProtection="1">
      <alignment horizontal="center"/>
    </xf>
    <xf numFmtId="0" fontId="70" fillId="10" borderId="1" xfId="0" applyFont="1" applyFill="1" applyBorder="1" applyAlignment="1">
      <alignment horizontal="center" vertical="center" wrapText="1"/>
    </xf>
    <xf numFmtId="0" fontId="70" fillId="10" borderId="0" xfId="0" applyFont="1" applyFill="1" applyBorder="1" applyAlignment="1">
      <alignment horizontal="center" vertical="center" wrapText="1"/>
    </xf>
    <xf numFmtId="0" fontId="70" fillId="10" borderId="2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left"/>
    </xf>
    <xf numFmtId="0" fontId="29" fillId="4" borderId="2" xfId="0" applyFont="1" applyFill="1" applyBorder="1" applyAlignment="1">
      <alignment horizontal="left"/>
    </xf>
    <xf numFmtId="0" fontId="53" fillId="10" borderId="67" xfId="0" applyFont="1" applyFill="1" applyBorder="1" applyAlignment="1">
      <alignment horizontal="center"/>
    </xf>
    <xf numFmtId="0" fontId="49" fillId="3" borderId="14" xfId="0" applyFont="1" applyFill="1" applyBorder="1" applyAlignment="1">
      <alignment horizontal="left" vertical="center"/>
    </xf>
    <xf numFmtId="0" fontId="49" fillId="3" borderId="15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left" vertical="center"/>
    </xf>
    <xf numFmtId="0" fontId="70" fillId="10" borderId="1" xfId="0" applyFont="1" applyFill="1" applyBorder="1" applyAlignment="1">
      <alignment horizontal="center" vertical="center"/>
    </xf>
    <xf numFmtId="0" fontId="70" fillId="10" borderId="0" xfId="0" applyFont="1" applyFill="1" applyBorder="1" applyAlignment="1">
      <alignment horizontal="center" vertical="center"/>
    </xf>
    <xf numFmtId="0" fontId="70" fillId="10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57" fillId="3" borderId="14" xfId="0" applyFont="1" applyFill="1" applyBorder="1" applyAlignment="1" applyProtection="1">
      <alignment horizontal="center" vertical="center"/>
      <protection locked="0"/>
    </xf>
    <xf numFmtId="0" fontId="57" fillId="3" borderId="15" xfId="0" applyFont="1" applyFill="1" applyBorder="1" applyAlignment="1" applyProtection="1">
      <alignment horizontal="center" vertical="center"/>
      <protection locked="0"/>
    </xf>
    <xf numFmtId="0" fontId="57" fillId="3" borderId="11" xfId="0" applyFont="1" applyFill="1" applyBorder="1" applyAlignment="1" applyProtection="1">
      <alignment horizontal="center" vertical="center"/>
      <protection locked="0"/>
    </xf>
    <xf numFmtId="0" fontId="36" fillId="0" borderId="0" xfId="1" applyAlignment="1" applyProtection="1">
      <alignment horizontal="center" vertical="center"/>
    </xf>
    <xf numFmtId="0" fontId="50" fillId="12" borderId="7" xfId="0" applyFont="1" applyFill="1" applyBorder="1" applyAlignment="1" applyProtection="1">
      <alignment horizontal="center"/>
      <protection locked="0"/>
    </xf>
    <xf numFmtId="0" fontId="29" fillId="4" borderId="3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9" fillId="4" borderId="5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/>
    </xf>
    <xf numFmtId="0" fontId="3" fillId="10" borderId="4" xfId="0" applyFont="1" applyFill="1" applyBorder="1" applyAlignment="1" applyProtection="1">
      <alignment horizontal="left"/>
    </xf>
    <xf numFmtId="0" fontId="3" fillId="10" borderId="5" xfId="0" applyFont="1" applyFill="1" applyBorder="1" applyAlignment="1" applyProtection="1">
      <alignment horizontal="left"/>
    </xf>
    <xf numFmtId="0" fontId="47" fillId="3" borderId="14" xfId="0" applyFont="1" applyFill="1" applyBorder="1" applyAlignment="1" applyProtection="1">
      <alignment horizontal="left"/>
    </xf>
    <xf numFmtId="0" fontId="47" fillId="3" borderId="15" xfId="0" applyFont="1" applyFill="1" applyBorder="1" applyAlignment="1" applyProtection="1">
      <alignment horizontal="left"/>
    </xf>
    <xf numFmtId="0" fontId="47" fillId="3" borderId="11" xfId="0" applyFont="1" applyFill="1" applyBorder="1" applyAlignment="1" applyProtection="1">
      <alignment horizontal="left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" fillId="10" borderId="14" xfId="0" applyFont="1" applyFill="1" applyBorder="1" applyAlignment="1" applyProtection="1">
      <alignment horizontal="left"/>
    </xf>
    <xf numFmtId="0" fontId="3" fillId="10" borderId="15" xfId="0" applyFont="1" applyFill="1" applyBorder="1" applyAlignment="1" applyProtection="1">
      <alignment horizontal="left"/>
    </xf>
    <xf numFmtId="0" fontId="3" fillId="10" borderId="11" xfId="0" applyFont="1" applyFill="1" applyBorder="1" applyAlignment="1" applyProtection="1">
      <alignment horizontal="left"/>
    </xf>
    <xf numFmtId="14" fontId="47" fillId="3" borderId="6" xfId="0" applyNumberFormat="1" applyFont="1" applyFill="1" applyBorder="1" applyAlignment="1" applyProtection="1">
      <alignment horizontal="left"/>
    </xf>
    <xf numFmtId="14" fontId="47" fillId="3" borderId="7" xfId="0" applyNumberFormat="1" applyFont="1" applyFill="1" applyBorder="1" applyAlignment="1" applyProtection="1">
      <alignment horizontal="left"/>
    </xf>
    <xf numFmtId="14" fontId="47" fillId="3" borderId="8" xfId="0" applyNumberFormat="1" applyFont="1" applyFill="1" applyBorder="1" applyAlignment="1" applyProtection="1">
      <alignment horizontal="left"/>
    </xf>
    <xf numFmtId="0" fontId="3" fillId="10" borderId="14" xfId="0" applyFont="1" applyFill="1" applyBorder="1" applyAlignment="1" applyProtection="1">
      <alignment horizontal="right"/>
    </xf>
    <xf numFmtId="0" fontId="3" fillId="10" borderId="11" xfId="0" applyFont="1" applyFill="1" applyBorder="1" applyAlignment="1" applyProtection="1">
      <alignment horizontal="right"/>
    </xf>
    <xf numFmtId="20" fontId="47" fillId="3" borderId="14" xfId="0" applyNumberFormat="1" applyFont="1" applyFill="1" applyBorder="1" applyAlignment="1" applyProtection="1">
      <alignment horizontal="left"/>
    </xf>
    <xf numFmtId="20" fontId="47" fillId="3" borderId="11" xfId="0" applyNumberFormat="1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center"/>
    </xf>
    <xf numFmtId="0" fontId="3" fillId="10" borderId="2" xfId="0" applyFont="1" applyFill="1" applyBorder="1" applyAlignment="1" applyProtection="1">
      <alignment horizontal="center"/>
    </xf>
    <xf numFmtId="0" fontId="47" fillId="3" borderId="14" xfId="0" applyFont="1" applyFill="1" applyBorder="1" applyAlignment="1" applyProtection="1">
      <alignment horizontal="center"/>
    </xf>
    <xf numFmtId="0" fontId="47" fillId="3" borderId="15" xfId="0" applyFont="1" applyFill="1" applyBorder="1" applyAlignment="1" applyProtection="1">
      <alignment horizontal="center"/>
    </xf>
    <xf numFmtId="0" fontId="47" fillId="3" borderId="11" xfId="0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left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57" fillId="10" borderId="0" xfId="0" applyFont="1" applyFill="1" applyBorder="1" applyAlignment="1" applyProtection="1">
      <alignment horizontal="center"/>
      <protection locked="0"/>
    </xf>
    <xf numFmtId="0" fontId="57" fillId="10" borderId="0" xfId="0" applyFont="1" applyFill="1" applyBorder="1" applyAlignment="1" applyProtection="1">
      <alignment horizontal="center" vertical="center"/>
      <protection locked="0"/>
    </xf>
    <xf numFmtId="0" fontId="52" fillId="10" borderId="0" xfId="0" applyFont="1" applyFill="1" applyBorder="1" applyAlignment="1" applyProtection="1">
      <alignment horizontal="center" vertical="center"/>
      <protection locked="0"/>
    </xf>
    <xf numFmtId="0" fontId="52" fillId="10" borderId="2" xfId="0" applyFont="1" applyFill="1" applyBorder="1" applyAlignment="1" applyProtection="1">
      <alignment horizontal="center" vertical="center"/>
      <protection locked="0"/>
    </xf>
    <xf numFmtId="0" fontId="52" fillId="10" borderId="0" xfId="0" applyFont="1" applyFill="1" applyBorder="1" applyAlignment="1" applyProtection="1">
      <alignment horizontal="right" vertical="center"/>
      <protection locked="0"/>
    </xf>
    <xf numFmtId="0" fontId="52" fillId="10" borderId="2" xfId="0" applyFont="1" applyFill="1" applyBorder="1" applyAlignment="1" applyProtection="1">
      <alignment horizontal="right" vertical="center"/>
      <protection locked="0"/>
    </xf>
    <xf numFmtId="0" fontId="8" fillId="14" borderId="0" xfId="0" applyFont="1" applyFill="1" applyBorder="1" applyAlignment="1" applyProtection="1">
      <alignment horizontal="center"/>
      <protection locked="0"/>
    </xf>
    <xf numFmtId="0" fontId="8" fillId="13" borderId="0" xfId="0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47" fillId="3" borderId="15" xfId="0" applyNumberFormat="1" applyFont="1" applyFill="1" applyBorder="1" applyAlignment="1" applyProtection="1">
      <alignment horizontal="center"/>
      <protection locked="0"/>
    </xf>
    <xf numFmtId="0" fontId="47" fillId="3" borderId="11" xfId="0" applyNumberFormat="1" applyFont="1" applyFill="1" applyBorder="1" applyAlignment="1" applyProtection="1">
      <alignment horizontal="center"/>
      <protection locked="0"/>
    </xf>
    <xf numFmtId="0" fontId="47" fillId="3" borderId="14" xfId="0" applyNumberFormat="1" applyFont="1" applyFill="1" applyBorder="1" applyAlignment="1" applyProtection="1">
      <alignment horizontal="center"/>
      <protection locked="0"/>
    </xf>
    <xf numFmtId="0" fontId="7" fillId="13" borderId="0" xfId="0" applyFont="1" applyFill="1" applyBorder="1" applyAlignment="1" applyProtection="1">
      <alignment horizontal="center"/>
      <protection locked="0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29" fillId="4" borderId="8" xfId="0" applyFont="1" applyFill="1" applyBorder="1" applyAlignment="1" applyProtection="1">
      <alignment horizontal="left" vertical="center"/>
      <protection locked="0"/>
    </xf>
    <xf numFmtId="0" fontId="49" fillId="3" borderId="14" xfId="0" applyFont="1" applyFill="1" applyBorder="1" applyAlignment="1" applyProtection="1">
      <alignment horizontal="left" vertical="center"/>
      <protection locked="0"/>
    </xf>
    <xf numFmtId="0" fontId="49" fillId="3" borderId="15" xfId="0" applyFont="1" applyFill="1" applyBorder="1" applyAlignment="1" applyProtection="1">
      <alignment horizontal="left" vertical="center"/>
      <protection locked="0"/>
    </xf>
    <xf numFmtId="0" fontId="49" fillId="3" borderId="11" xfId="0" applyFont="1" applyFill="1" applyBorder="1" applyAlignment="1" applyProtection="1">
      <alignment horizontal="left" vertical="center"/>
      <protection locked="0"/>
    </xf>
    <xf numFmtId="0" fontId="57" fillId="10" borderId="1" xfId="0" quotePrefix="1" applyFont="1" applyFill="1" applyBorder="1" applyAlignment="1" applyProtection="1">
      <alignment horizontal="left"/>
      <protection locked="0"/>
    </xf>
    <xf numFmtId="0" fontId="57" fillId="10" borderId="0" xfId="0" applyFont="1" applyFill="1" applyBorder="1" applyAlignment="1" applyProtection="1">
      <alignment horizontal="left"/>
      <protection locked="0"/>
    </xf>
    <xf numFmtId="0" fontId="57" fillId="10" borderId="2" xfId="0" applyFont="1" applyFill="1" applyBorder="1" applyAlignment="1" applyProtection="1">
      <alignment horizontal="left"/>
      <protection locked="0"/>
    </xf>
    <xf numFmtId="0" fontId="57" fillId="10" borderId="1" xfId="0" applyFont="1" applyFill="1" applyBorder="1" applyAlignment="1" applyProtection="1">
      <alignment horizontal="left"/>
      <protection locked="0"/>
    </xf>
    <xf numFmtId="0" fontId="57" fillId="10" borderId="6" xfId="0" quotePrefix="1" applyFont="1" applyFill="1" applyBorder="1" applyAlignment="1" applyProtection="1">
      <alignment horizontal="left"/>
      <protection locked="0"/>
    </xf>
    <xf numFmtId="0" fontId="57" fillId="10" borderId="7" xfId="0" applyFont="1" applyFill="1" applyBorder="1" applyAlignment="1" applyProtection="1">
      <alignment horizontal="left"/>
      <protection locked="0"/>
    </xf>
    <xf numFmtId="0" fontId="57" fillId="10" borderId="8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40"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/>
        <right/>
        <top/>
        <bottom/>
      </border>
    </dxf>
    <dxf>
      <font>
        <b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A50021"/>
      <color rgb="FFCC3300"/>
      <color rgb="FF006600"/>
      <color rgb="FF00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AE$12" lockText="1" noThreeD="1"/>
</file>

<file path=xl/ctrlProps/ctrlProp10.xml><?xml version="1.0" encoding="utf-8"?>
<formControlPr xmlns="http://schemas.microsoft.com/office/spreadsheetml/2009/9/main" objectType="CheckBox" fmlaLink="$AF$11" lockText="1" noThreeD="1"/>
</file>

<file path=xl/ctrlProps/ctrlProp11.xml><?xml version="1.0" encoding="utf-8"?>
<formControlPr xmlns="http://schemas.microsoft.com/office/spreadsheetml/2009/9/main" objectType="CheckBox" fmlaLink="$AF$14" lockText="1" noThreeD="1"/>
</file>

<file path=xl/ctrlProps/ctrlProp12.xml><?xml version="1.0" encoding="utf-8"?>
<formControlPr xmlns="http://schemas.microsoft.com/office/spreadsheetml/2009/9/main" objectType="CheckBox" fmlaLink="$AF$16" lockText="1" noThreeD="1"/>
</file>

<file path=xl/ctrlProps/ctrlProp13.xml><?xml version="1.0" encoding="utf-8"?>
<formControlPr xmlns="http://schemas.microsoft.com/office/spreadsheetml/2009/9/main" objectType="CheckBox" fmlaLink="$AE$18" lockText="1" noThreeD="1"/>
</file>

<file path=xl/ctrlProps/ctrlProp14.xml><?xml version="1.0" encoding="utf-8"?>
<formControlPr xmlns="http://schemas.microsoft.com/office/spreadsheetml/2009/9/main" objectType="CheckBox" fmlaLink="$AE$19" lockText="1" noThreeD="1"/>
</file>

<file path=xl/ctrlProps/ctrlProp15.xml><?xml version="1.0" encoding="utf-8"?>
<formControlPr xmlns="http://schemas.microsoft.com/office/spreadsheetml/2009/9/main" objectType="CheckBox" fmlaLink="$AE$20" lockText="1" noThreeD="1"/>
</file>

<file path=xl/ctrlProps/ctrlProp16.xml><?xml version="1.0" encoding="utf-8"?>
<formControlPr xmlns="http://schemas.microsoft.com/office/spreadsheetml/2009/9/main" objectType="CheckBox" fmlaLink="$AE$21" lockText="1" noThreeD="1"/>
</file>

<file path=xl/ctrlProps/ctrlProp17.xml><?xml version="1.0" encoding="utf-8"?>
<formControlPr xmlns="http://schemas.microsoft.com/office/spreadsheetml/2009/9/main" objectType="CheckBox" fmlaLink="$AE$22" lockText="1" noThreeD="1"/>
</file>

<file path=xl/ctrlProps/ctrlProp18.xml><?xml version="1.0" encoding="utf-8"?>
<formControlPr xmlns="http://schemas.microsoft.com/office/spreadsheetml/2009/9/main" objectType="CheckBox" fmlaLink="$AE$23" lockText="1" noThreeD="1"/>
</file>

<file path=xl/ctrlProps/ctrlProp19.xml><?xml version="1.0" encoding="utf-8"?>
<formControlPr xmlns="http://schemas.microsoft.com/office/spreadsheetml/2009/9/main" objectType="CheckBox" fmlaLink="$AF$23" lockText="1" noThreeD="1"/>
</file>

<file path=xl/ctrlProps/ctrlProp2.xml><?xml version="1.0" encoding="utf-8"?>
<formControlPr xmlns="http://schemas.microsoft.com/office/spreadsheetml/2009/9/main" objectType="CheckBox" fmlaLink="$AE$11" lockText="1" noThreeD="1"/>
</file>

<file path=xl/ctrlProps/ctrlProp20.xml><?xml version="1.0" encoding="utf-8"?>
<formControlPr xmlns="http://schemas.microsoft.com/office/spreadsheetml/2009/9/main" objectType="CheckBox" fmlaLink="$AE$11" lockText="1" noThreeD="1"/>
</file>

<file path=xl/ctrlProps/ctrlProp21.xml><?xml version="1.0" encoding="utf-8"?>
<formControlPr xmlns="http://schemas.microsoft.com/office/spreadsheetml/2009/9/main" objectType="CheckBox" checked="Checked" fmlaLink="$AG$11" lockText="1" noThreeD="1"/>
</file>

<file path=xl/ctrlProps/ctrlProp22.xml><?xml version="1.0" encoding="utf-8"?>
<formControlPr xmlns="http://schemas.microsoft.com/office/spreadsheetml/2009/9/main" objectType="CheckBox" fmlaLink="$AF$11" lockText="1" noThreeD="1"/>
</file>

<file path=xl/ctrlProps/ctrlProp23.xml><?xml version="1.0" encoding="utf-8"?>
<formControlPr xmlns="http://schemas.microsoft.com/office/spreadsheetml/2009/9/main" objectType="CheckBox" checked="Checked" fmlaLink="$AE$28" lockText="1" noThreeD="1"/>
</file>

<file path=xl/ctrlProps/ctrlProp24.xml><?xml version="1.0" encoding="utf-8"?>
<formControlPr xmlns="http://schemas.microsoft.com/office/spreadsheetml/2009/9/main" objectType="CheckBox" fmlaLink="$AE$26" lockText="1" noThreeD="1"/>
</file>

<file path=xl/ctrlProps/ctrlProp25.xml><?xml version="1.0" encoding="utf-8"?>
<formControlPr xmlns="http://schemas.microsoft.com/office/spreadsheetml/2009/9/main" objectType="CheckBox" fmlaLink="$AE$32" lockText="1" noThreeD="1"/>
</file>

<file path=xl/ctrlProps/ctrlProp26.xml><?xml version="1.0" encoding="utf-8"?>
<formControlPr xmlns="http://schemas.microsoft.com/office/spreadsheetml/2009/9/main" objectType="CheckBox" checked="Checked" fmlaLink="$AF$28" lockText="1" noThreeD="1"/>
</file>

<file path=xl/ctrlProps/ctrlProp27.xml><?xml version="1.0" encoding="utf-8"?>
<formControlPr xmlns="http://schemas.microsoft.com/office/spreadsheetml/2009/9/main" objectType="CheckBox" fmlaLink="$AF$30" lockText="1" noThreeD="1"/>
</file>

<file path=xl/ctrlProps/ctrlProp28.xml><?xml version="1.0" encoding="utf-8"?>
<formControlPr xmlns="http://schemas.microsoft.com/office/spreadsheetml/2009/9/main" objectType="CheckBox" fmlaLink="$AG$12" lockText="1" noThreeD="1"/>
</file>

<file path=xl/ctrlProps/ctrlProp29.xml><?xml version="1.0" encoding="utf-8"?>
<formControlPr xmlns="http://schemas.microsoft.com/office/spreadsheetml/2009/9/main" objectType="CheckBox" fmlaLink="$AE$34" lockText="1" noThreeD="1"/>
</file>

<file path=xl/ctrlProps/ctrlProp3.xml><?xml version="1.0" encoding="utf-8"?>
<formControlPr xmlns="http://schemas.microsoft.com/office/spreadsheetml/2009/9/main" objectType="CheckBox" fmlaLink="$AE$15" lockText="1" noThreeD="1"/>
</file>

<file path=xl/ctrlProps/ctrlProp30.xml><?xml version="1.0" encoding="utf-8"?>
<formControlPr xmlns="http://schemas.microsoft.com/office/spreadsheetml/2009/9/main" objectType="CheckBox" fmlaLink="$AE$36" lockText="1" noThreeD="1"/>
</file>

<file path=xl/ctrlProps/ctrlProp31.xml><?xml version="1.0" encoding="utf-8"?>
<formControlPr xmlns="http://schemas.microsoft.com/office/spreadsheetml/2009/9/main" objectType="CheckBox" fmlaLink="$AE$30" lockText="1" noThreeD="1"/>
</file>

<file path=xl/ctrlProps/ctrlProp32.xml><?xml version="1.0" encoding="utf-8"?>
<formControlPr xmlns="http://schemas.microsoft.com/office/spreadsheetml/2009/9/main" objectType="CheckBox" checked="Checked" fmlaLink="$AF$11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AE$11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$AE$26" lockText="1" noThreeD="1"/>
</file>

<file path=xl/ctrlProps/ctrlProp39.xml><?xml version="1.0" encoding="utf-8"?>
<formControlPr xmlns="http://schemas.microsoft.com/office/spreadsheetml/2009/9/main" objectType="CheckBox" fmlaLink="$AF$26" lockText="1" noThreeD="1"/>
</file>

<file path=xl/ctrlProps/ctrlProp4.xml><?xml version="1.0" encoding="utf-8"?>
<formControlPr xmlns="http://schemas.microsoft.com/office/spreadsheetml/2009/9/main" objectType="CheckBox" fmlaLink="$AE$13" lockText="1" noThreeD="1"/>
</file>

<file path=xl/ctrlProps/ctrlProp40.xml><?xml version="1.0" encoding="utf-8"?>
<formControlPr xmlns="http://schemas.microsoft.com/office/spreadsheetml/2009/9/main" objectType="CheckBox" fmlaLink="$AE$11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$AE$26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E$14" lockText="1" noThreeD="1"/>
</file>

<file path=xl/ctrlProps/ctrlProp6.xml><?xml version="1.0" encoding="utf-8"?>
<formControlPr xmlns="http://schemas.microsoft.com/office/spreadsheetml/2009/9/main" objectType="CheckBox" fmlaLink="$AE$16" lockText="1" noThreeD="1"/>
</file>

<file path=xl/ctrlProps/ctrlProp7.xml><?xml version="1.0" encoding="utf-8"?>
<formControlPr xmlns="http://schemas.microsoft.com/office/spreadsheetml/2009/9/main" objectType="CheckBox" fmlaLink="$AF$13" lockText="1" noThreeD="1"/>
</file>

<file path=xl/ctrlProps/ctrlProp8.xml><?xml version="1.0" encoding="utf-8"?>
<formControlPr xmlns="http://schemas.microsoft.com/office/spreadsheetml/2009/9/main" objectType="CheckBox" fmlaLink="$AF$12" lockText="1" noThreeD="1"/>
</file>

<file path=xl/ctrlProps/ctrlProp9.xml><?xml version="1.0" encoding="utf-8"?>
<formControlPr xmlns="http://schemas.microsoft.com/office/spreadsheetml/2009/9/main" objectType="CheckBox" fmlaLink="$AF$15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wmf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wmf"/><Relationship Id="rId9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Relationship Id="rId9" Type="http://schemas.openxmlformats.org/officeDocument/2006/relationships/image" Target="../media/image2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0.gif"/><Relationship Id="rId1" Type="http://schemas.openxmlformats.org/officeDocument/2006/relationships/image" Target="../media/image29.jpeg"/><Relationship Id="rId4" Type="http://schemas.openxmlformats.org/officeDocument/2006/relationships/image" Target="../media/image3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180975</xdr:rowOff>
        </xdr:from>
        <xdr:to>
          <xdr:col>1</xdr:col>
          <xdr:colOff>114300</xdr:colOff>
          <xdr:row>12</xdr:row>
          <xdr:rowOff>19050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114300</xdr:colOff>
          <xdr:row>11</xdr:row>
          <xdr:rowOff>28575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171450</xdr:rowOff>
        </xdr:from>
        <xdr:to>
          <xdr:col>1</xdr:col>
          <xdr:colOff>114300</xdr:colOff>
          <xdr:row>15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114300</xdr:colOff>
          <xdr:row>13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114300</xdr:colOff>
          <xdr:row>14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114300</xdr:colOff>
          <xdr:row>16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11</xdr:row>
          <xdr:rowOff>171450</xdr:rowOff>
        </xdr:from>
        <xdr:to>
          <xdr:col>16</xdr:col>
          <xdr:colOff>95250</xdr:colOff>
          <xdr:row>13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10</xdr:row>
          <xdr:rowOff>171450</xdr:rowOff>
        </xdr:from>
        <xdr:to>
          <xdr:col>16</xdr:col>
          <xdr:colOff>95250</xdr:colOff>
          <xdr:row>12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13</xdr:row>
          <xdr:rowOff>180975</xdr:rowOff>
        </xdr:from>
        <xdr:to>
          <xdr:col>16</xdr:col>
          <xdr:colOff>95250</xdr:colOff>
          <xdr:row>15</xdr:row>
          <xdr:rowOff>19050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9</xdr:row>
          <xdr:rowOff>180975</xdr:rowOff>
        </xdr:from>
        <xdr:to>
          <xdr:col>16</xdr:col>
          <xdr:colOff>95250</xdr:colOff>
          <xdr:row>11</xdr:row>
          <xdr:rowOff>19050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12</xdr:row>
          <xdr:rowOff>171450</xdr:rowOff>
        </xdr:from>
        <xdr:to>
          <xdr:col>16</xdr:col>
          <xdr:colOff>95250</xdr:colOff>
          <xdr:row>14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14</xdr:row>
          <xdr:rowOff>180975</xdr:rowOff>
        </xdr:from>
        <xdr:to>
          <xdr:col>16</xdr:col>
          <xdr:colOff>95250</xdr:colOff>
          <xdr:row>16</xdr:row>
          <xdr:rowOff>19050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0</xdr:rowOff>
        </xdr:from>
        <xdr:to>
          <xdr:col>1</xdr:col>
          <xdr:colOff>123825</xdr:colOff>
          <xdr:row>18</xdr:row>
          <xdr:rowOff>28575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0</xdr:rowOff>
        </xdr:from>
        <xdr:to>
          <xdr:col>1</xdr:col>
          <xdr:colOff>123825</xdr:colOff>
          <xdr:row>19</xdr:row>
          <xdr:rowOff>28575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0</xdr:rowOff>
        </xdr:from>
        <xdr:to>
          <xdr:col>1</xdr:col>
          <xdr:colOff>123825</xdr:colOff>
          <xdr:row>20</xdr:row>
          <xdr:rowOff>28575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0</xdr:rowOff>
        </xdr:from>
        <xdr:to>
          <xdr:col>1</xdr:col>
          <xdr:colOff>123825</xdr:colOff>
          <xdr:row>21</xdr:row>
          <xdr:rowOff>28575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0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0</xdr:rowOff>
        </xdr:from>
        <xdr:to>
          <xdr:col>1</xdr:col>
          <xdr:colOff>123825</xdr:colOff>
          <xdr:row>23</xdr:row>
          <xdr:rowOff>28575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161925</xdr:rowOff>
        </xdr:from>
        <xdr:to>
          <xdr:col>16</xdr:col>
          <xdr:colOff>104775</xdr:colOff>
          <xdr:row>23</xdr:row>
          <xdr:rowOff>0</xdr:rowOff>
        </xdr:to>
        <xdr:sp macro="" textlink="">
          <xdr:nvSpPr>
            <xdr:cNvPr id="21615" name="Check Box 111" hidden="1">
              <a:extLst>
                <a:ext uri="{63B3BB69-23CF-44E3-9099-C40C66FF867C}">
                  <a14:compatExt spid="_x0000_s2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19050</xdr:colOff>
      <xdr:row>0</xdr:row>
      <xdr:rowOff>0</xdr:rowOff>
    </xdr:from>
    <xdr:to>
      <xdr:col>9</xdr:col>
      <xdr:colOff>66676</xdr:colOff>
      <xdr:row>1</xdr:row>
      <xdr:rowOff>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0"/>
          <a:ext cx="238126" cy="2381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104776</xdr:colOff>
          <xdr:row>31</xdr:row>
          <xdr:rowOff>47626</xdr:rowOff>
        </xdr:from>
        <xdr:to>
          <xdr:col>13</xdr:col>
          <xdr:colOff>83776</xdr:colOff>
          <xdr:row>33</xdr:row>
          <xdr:rowOff>26626</xdr:rowOff>
        </xdr:to>
        <xdr:pic>
          <xdr:nvPicPr>
            <xdr:cNvPr id="24" name="Picture 6"/>
            <xdr:cNvPicPr>
              <a:picLocks noChangeAspect="1" noChangeArrowheads="1"/>
              <a:extLst>
                <a:ext uri="{84589F7E-364E-4C9E-8A38-B11213B215E9}">
                  <a14:cameraTool cellRange="Zoek_Figuur1" spid="_x0000_s223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00276" y="6000751"/>
              <a:ext cx="360000" cy="3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38100</xdr:rowOff>
        </xdr:from>
        <xdr:to>
          <xdr:col>15</xdr:col>
          <xdr:colOff>36150</xdr:colOff>
          <xdr:row>33</xdr:row>
          <xdr:rowOff>17100</xdr:rowOff>
        </xdr:to>
        <xdr:pic>
          <xdr:nvPicPr>
            <xdr:cNvPr id="26" name="Picture 6"/>
            <xdr:cNvPicPr>
              <a:picLocks noChangeAspect="1" noChangeArrowheads="1"/>
              <a:extLst>
                <a:ext uri="{84589F7E-364E-4C9E-8A38-B11213B215E9}">
                  <a14:cameraTool cellRange="Zoek_Figuur2" spid="_x0000_s223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33650" y="5991225"/>
              <a:ext cx="360000" cy="3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19050</xdr:rowOff>
        </xdr:from>
        <xdr:to>
          <xdr:col>14</xdr:col>
          <xdr:colOff>17100</xdr:colOff>
          <xdr:row>34</xdr:row>
          <xdr:rowOff>188550</xdr:rowOff>
        </xdr:to>
        <xdr:pic>
          <xdr:nvPicPr>
            <xdr:cNvPr id="27" name="Picture 6"/>
            <xdr:cNvPicPr>
              <a:picLocks noChangeAspect="1" noChangeArrowheads="1"/>
              <a:extLst>
                <a:ext uri="{84589F7E-364E-4C9E-8A38-B11213B215E9}">
                  <a14:cameraTool cellRange="Zoek_Figuur3" spid="_x0000_s2233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324100" y="6353175"/>
              <a:ext cx="360000" cy="36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33</xdr:row>
          <xdr:rowOff>9526</xdr:rowOff>
        </xdr:from>
        <xdr:to>
          <xdr:col>29</xdr:col>
          <xdr:colOff>285749</xdr:colOff>
          <xdr:row>36</xdr:row>
          <xdr:rowOff>20582</xdr:rowOff>
        </xdr:to>
        <xdr:pic>
          <xdr:nvPicPr>
            <xdr:cNvPr id="30" name="Afbeelding 29"/>
            <xdr:cNvPicPr>
              <a:picLocks noChangeAspect="1" noChangeArrowheads="1"/>
              <a:extLst>
                <a:ext uri="{84589F7E-364E-4C9E-8A38-B11213B215E9}">
                  <a14:cameraTool cellRange="$AP$64" spid="_x0000_s2233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705100" y="6353176"/>
              <a:ext cx="3105149" cy="58255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15675</xdr:rowOff>
    </xdr:from>
    <xdr:to>
      <xdr:col>2</xdr:col>
      <xdr:colOff>408122</xdr:colOff>
      <xdr:row>14</xdr:row>
      <xdr:rowOff>411675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9200" y="2682675"/>
          <a:ext cx="408122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409200</xdr:colOff>
      <xdr:row>15</xdr:row>
      <xdr:rowOff>396000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9200" y="3105150"/>
          <a:ext cx="4092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609075</xdr:colOff>
      <xdr:row>16</xdr:row>
      <xdr:rowOff>9525</xdr:rowOff>
    </xdr:from>
    <xdr:to>
      <xdr:col>2</xdr:col>
      <xdr:colOff>410325</xdr:colOff>
      <xdr:row>16</xdr:row>
      <xdr:rowOff>405525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8675" y="3552825"/>
          <a:ext cx="41085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17</xdr:row>
      <xdr:rowOff>19050</xdr:rowOff>
    </xdr:from>
    <xdr:to>
      <xdr:col>2</xdr:col>
      <xdr:colOff>410143</xdr:colOff>
      <xdr:row>17</xdr:row>
      <xdr:rowOff>415050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9200" y="4000500"/>
          <a:ext cx="410143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18</xdr:row>
      <xdr:rowOff>19050</xdr:rowOff>
    </xdr:from>
    <xdr:to>
      <xdr:col>2</xdr:col>
      <xdr:colOff>420375</xdr:colOff>
      <xdr:row>18</xdr:row>
      <xdr:rowOff>415050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4438650"/>
          <a:ext cx="41085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19</xdr:row>
      <xdr:rowOff>25200</xdr:rowOff>
    </xdr:from>
    <xdr:to>
      <xdr:col>2</xdr:col>
      <xdr:colOff>421365</xdr:colOff>
      <xdr:row>19</xdr:row>
      <xdr:rowOff>421200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4882950"/>
          <a:ext cx="41184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9000</xdr:colOff>
      <xdr:row>20</xdr:row>
      <xdr:rowOff>25200</xdr:rowOff>
    </xdr:from>
    <xdr:to>
      <xdr:col>2</xdr:col>
      <xdr:colOff>419850</xdr:colOff>
      <xdr:row>20</xdr:row>
      <xdr:rowOff>421200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200" y="5321100"/>
          <a:ext cx="41085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21</xdr:row>
      <xdr:rowOff>19050</xdr:rowOff>
    </xdr:from>
    <xdr:to>
      <xdr:col>2</xdr:col>
      <xdr:colOff>420375</xdr:colOff>
      <xdr:row>21</xdr:row>
      <xdr:rowOff>415050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53100"/>
          <a:ext cx="41085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22</xdr:row>
      <xdr:rowOff>19050</xdr:rowOff>
    </xdr:from>
    <xdr:to>
      <xdr:col>2</xdr:col>
      <xdr:colOff>420755</xdr:colOff>
      <xdr:row>22</xdr:row>
      <xdr:rowOff>415050</xdr:rowOff>
    </xdr:to>
    <xdr:pic>
      <xdr:nvPicPr>
        <xdr:cNvPr id="12" name="Picture 10" descr="Aquatic-pollut-red.gif"/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6191250"/>
          <a:ext cx="41123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24150</xdr:colOff>
      <xdr:row>14</xdr:row>
      <xdr:rowOff>0</xdr:rowOff>
    </xdr:from>
    <xdr:to>
      <xdr:col>4</xdr:col>
      <xdr:colOff>0</xdr:colOff>
      <xdr:row>15</xdr:row>
      <xdr:rowOff>4425</xdr:rowOff>
    </xdr:to>
    <xdr:pic>
      <xdr:nvPicPr>
        <xdr:cNvPr id="32" name="Picture 22" descr="7010-m00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1600" y="2667000"/>
          <a:ext cx="414000" cy="41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24150</xdr:colOff>
      <xdr:row>15</xdr:row>
      <xdr:rowOff>0</xdr:rowOff>
    </xdr:from>
    <xdr:to>
      <xdr:col>4</xdr:col>
      <xdr:colOff>0</xdr:colOff>
      <xdr:row>16</xdr:row>
      <xdr:rowOff>4425</xdr:rowOff>
    </xdr:to>
    <xdr:pic>
      <xdr:nvPicPr>
        <xdr:cNvPr id="34" name="Picture 30" descr="7010-m013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1600" y="3076575"/>
          <a:ext cx="414000" cy="41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24150</xdr:colOff>
      <xdr:row>16</xdr:row>
      <xdr:rowOff>0</xdr:rowOff>
    </xdr:from>
    <xdr:to>
      <xdr:col>4</xdr:col>
      <xdr:colOff>0</xdr:colOff>
      <xdr:row>17</xdr:row>
      <xdr:rowOff>4425</xdr:rowOff>
    </xdr:to>
    <xdr:pic>
      <xdr:nvPicPr>
        <xdr:cNvPr id="35" name="Picture 27" descr="7010-m009"/>
        <xdr:cNvPicPr>
          <a:picLocks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1600" y="3486150"/>
          <a:ext cx="414000" cy="41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24150</xdr:colOff>
      <xdr:row>16</xdr:row>
      <xdr:rowOff>405150</xdr:rowOff>
    </xdr:from>
    <xdr:to>
      <xdr:col>4</xdr:col>
      <xdr:colOff>0</xdr:colOff>
      <xdr:row>18</xdr:row>
      <xdr:rowOff>0</xdr:rowOff>
    </xdr:to>
    <xdr:pic>
      <xdr:nvPicPr>
        <xdr:cNvPr id="36" name="Picture 128" descr="7010-m010"/>
        <xdr:cNvPicPr>
          <a:picLocks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81600" y="3891300"/>
          <a:ext cx="414000" cy="41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414000</xdr:colOff>
      <xdr:row>19</xdr:row>
      <xdr:rowOff>4425</xdr:rowOff>
    </xdr:to>
    <xdr:pic>
      <xdr:nvPicPr>
        <xdr:cNvPr id="37" name="Picture 33" descr="7010-m016"/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57450" y="4305300"/>
          <a:ext cx="414000" cy="41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414000</xdr:colOff>
      <xdr:row>20</xdr:row>
      <xdr:rowOff>4424</xdr:rowOff>
    </xdr:to>
    <xdr:pic>
      <xdr:nvPicPr>
        <xdr:cNvPr id="38" name="Picture 34" descr="7010-m0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57450" y="4714875"/>
          <a:ext cx="414000" cy="41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414000</xdr:colOff>
      <xdr:row>21</xdr:row>
      <xdr:rowOff>4029</xdr:rowOff>
    </xdr:to>
    <xdr:pic>
      <xdr:nvPicPr>
        <xdr:cNvPr id="39" name="Picture 28" descr="7010-m0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57450" y="5124450"/>
          <a:ext cx="414000" cy="413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414000</xdr:colOff>
      <xdr:row>22</xdr:row>
      <xdr:rowOff>4425</xdr:rowOff>
    </xdr:to>
    <xdr:pic>
      <xdr:nvPicPr>
        <xdr:cNvPr id="24" name="Afbeelding 23" descr="afzuiging.bmp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457450" y="5534025"/>
          <a:ext cx="414000" cy="414000"/>
        </a:xfrm>
        <a:prstGeom prst="rect">
          <a:avLst/>
        </a:prstGeom>
      </xdr:spPr>
    </xdr:pic>
    <xdr:clientData/>
  </xdr:twoCellAnchor>
  <xdr:twoCellAnchor>
    <xdr:from>
      <xdr:col>3</xdr:col>
      <xdr:colOff>24150</xdr:colOff>
      <xdr:row>22</xdr:row>
      <xdr:rowOff>1475</xdr:rowOff>
    </xdr:from>
    <xdr:to>
      <xdr:col>4</xdr:col>
      <xdr:colOff>0</xdr:colOff>
      <xdr:row>23</xdr:row>
      <xdr:rowOff>0</xdr:rowOff>
    </xdr:to>
    <xdr:pic>
      <xdr:nvPicPr>
        <xdr:cNvPr id="29" name="Picture 23" descr="7010-m00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81600" y="5945075"/>
          <a:ext cx="414000" cy="4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6150</xdr:colOff>
      <xdr:row>14</xdr:row>
      <xdr:rowOff>6150</xdr:rowOff>
    </xdr:from>
    <xdr:to>
      <xdr:col>4</xdr:col>
      <xdr:colOff>0</xdr:colOff>
      <xdr:row>15</xdr:row>
      <xdr:rowOff>0</xdr:rowOff>
    </xdr:to>
    <xdr:pic>
      <xdr:nvPicPr>
        <xdr:cNvPr id="2" name="Picture 1" descr="P003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600" y="3073200"/>
          <a:ext cx="432000" cy="43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6150</xdr:colOff>
      <xdr:row>15</xdr:row>
      <xdr:rowOff>6150</xdr:rowOff>
    </xdr:from>
    <xdr:to>
      <xdr:col>4</xdr:col>
      <xdr:colOff>0</xdr:colOff>
      <xdr:row>16</xdr:row>
      <xdr:rowOff>0</xdr:rowOff>
    </xdr:to>
    <xdr:pic>
      <xdr:nvPicPr>
        <xdr:cNvPr id="3" name="Picture 2" descr="P01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875" y="1758750"/>
          <a:ext cx="432000" cy="4320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6150</xdr:colOff>
      <xdr:row>16</xdr:row>
      <xdr:rowOff>6150</xdr:rowOff>
    </xdr:from>
    <xdr:to>
      <xdr:col>4</xdr:col>
      <xdr:colOff>0</xdr:colOff>
      <xdr:row>17</xdr:row>
      <xdr:rowOff>0</xdr:rowOff>
    </xdr:to>
    <xdr:pic>
      <xdr:nvPicPr>
        <xdr:cNvPr id="4" name="Afbeelding 3" descr="mengen.bmp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20600" y="3949500"/>
          <a:ext cx="432000" cy="43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0</xdr:rowOff>
    </xdr:from>
    <xdr:to>
      <xdr:col>8</xdr:col>
      <xdr:colOff>85726</xdr:colOff>
      <xdr:row>1</xdr:row>
      <xdr:rowOff>1</xdr:rowOff>
    </xdr:to>
    <xdr:pic>
      <xdr:nvPicPr>
        <xdr:cNvPr id="53" name="Afbeelding 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0"/>
          <a:ext cx="238126" cy="2381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9525</xdr:rowOff>
        </xdr:from>
        <xdr:to>
          <xdr:col>5</xdr:col>
          <xdr:colOff>114300</xdr:colOff>
          <xdr:row>11</xdr:row>
          <xdr:rowOff>38100</xdr:rowOff>
        </xdr:to>
        <xdr:sp macro="" textlink="">
          <xdr:nvSpPr>
            <xdr:cNvPr id="47158" name="Check Box 54" hidden="1">
              <a:extLst>
                <a:ext uri="{63B3BB69-23CF-44E3-9099-C40C66FF867C}">
                  <a14:compatExt spid="_x0000_s47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10</xdr:row>
          <xdr:rowOff>9525</xdr:rowOff>
        </xdr:from>
        <xdr:to>
          <xdr:col>23</xdr:col>
          <xdr:colOff>123825</xdr:colOff>
          <xdr:row>11</xdr:row>
          <xdr:rowOff>38100</xdr:rowOff>
        </xdr:to>
        <xdr:sp macro="" textlink="">
          <xdr:nvSpPr>
            <xdr:cNvPr id="47160" name="Check Box 56" hidden="1">
              <a:extLst>
                <a:ext uri="{63B3BB69-23CF-44E3-9099-C40C66FF867C}">
                  <a14:compatExt spid="_x0000_s47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9525</xdr:rowOff>
        </xdr:from>
        <xdr:to>
          <xdr:col>14</xdr:col>
          <xdr:colOff>133350</xdr:colOff>
          <xdr:row>11</xdr:row>
          <xdr:rowOff>38100</xdr:rowOff>
        </xdr:to>
        <xdr:sp macro="" textlink="">
          <xdr:nvSpPr>
            <xdr:cNvPr id="47162" name="Check Box 58" hidden="1">
              <a:extLst>
                <a:ext uri="{63B3BB69-23CF-44E3-9099-C40C66FF867C}">
                  <a14:compatExt spid="_x0000_s47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27</xdr:row>
          <xdr:rowOff>0</xdr:rowOff>
        </xdr:from>
        <xdr:to>
          <xdr:col>14</xdr:col>
          <xdr:colOff>85725</xdr:colOff>
          <xdr:row>28</xdr:row>
          <xdr:rowOff>28575</xdr:rowOff>
        </xdr:to>
        <xdr:sp macro="" textlink="">
          <xdr:nvSpPr>
            <xdr:cNvPr id="47163" name="Check Box 59" hidden="1">
              <a:extLst>
                <a:ext uri="{63B3BB69-23CF-44E3-9099-C40C66FF867C}">
                  <a14:compatExt spid="_x0000_s47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29</xdr:row>
          <xdr:rowOff>0</xdr:rowOff>
        </xdr:from>
        <xdr:to>
          <xdr:col>14</xdr:col>
          <xdr:colOff>85725</xdr:colOff>
          <xdr:row>30</xdr:row>
          <xdr:rowOff>28575</xdr:rowOff>
        </xdr:to>
        <xdr:sp macro="" textlink="">
          <xdr:nvSpPr>
            <xdr:cNvPr id="47164" name="Check Box 60" hidden="1">
              <a:extLst>
                <a:ext uri="{63B3BB69-23CF-44E3-9099-C40C66FF867C}">
                  <a14:compatExt spid="_x0000_s47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9525</xdr:rowOff>
        </xdr:from>
        <xdr:to>
          <xdr:col>14</xdr:col>
          <xdr:colOff>85725</xdr:colOff>
          <xdr:row>26</xdr:row>
          <xdr:rowOff>38100</xdr:rowOff>
        </xdr:to>
        <xdr:sp macro="" textlink="">
          <xdr:nvSpPr>
            <xdr:cNvPr id="47165" name="Check Box 61" hidden="1">
              <a:extLst>
                <a:ext uri="{63B3BB69-23CF-44E3-9099-C40C66FF867C}">
                  <a14:compatExt spid="_x0000_s47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85725</xdr:rowOff>
        </xdr:from>
        <xdr:to>
          <xdr:col>23</xdr:col>
          <xdr:colOff>114300</xdr:colOff>
          <xdr:row>32</xdr:row>
          <xdr:rowOff>19050</xdr:rowOff>
        </xdr:to>
        <xdr:sp macro="" textlink="">
          <xdr:nvSpPr>
            <xdr:cNvPr id="47166" name="Check Box 62" hidden="1">
              <a:extLst>
                <a:ext uri="{63B3BB69-23CF-44E3-9099-C40C66FF867C}">
                  <a14:compatExt spid="_x0000_s47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85725</xdr:rowOff>
        </xdr:from>
        <xdr:to>
          <xdr:col>5</xdr:col>
          <xdr:colOff>114300</xdr:colOff>
          <xdr:row>28</xdr:row>
          <xdr:rowOff>19050</xdr:rowOff>
        </xdr:to>
        <xdr:sp macro="" textlink="">
          <xdr:nvSpPr>
            <xdr:cNvPr id="47168" name="Check Box 64" hidden="1">
              <a:extLst>
                <a:ext uri="{63B3BB69-23CF-44E3-9099-C40C66FF867C}">
                  <a14:compatExt spid="_x0000_s47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76200</xdr:rowOff>
        </xdr:from>
        <xdr:to>
          <xdr:col>5</xdr:col>
          <xdr:colOff>114300</xdr:colOff>
          <xdr:row>30</xdr:row>
          <xdr:rowOff>9525</xdr:rowOff>
        </xdr:to>
        <xdr:sp macro="" textlink="">
          <xdr:nvSpPr>
            <xdr:cNvPr id="47170" name="Check Box 66" hidden="1">
              <a:extLst>
                <a:ext uri="{63B3BB69-23CF-44E3-9099-C40C66FF867C}">
                  <a14:compatExt spid="_x0000_s4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28</xdr:row>
      <xdr:rowOff>47625</xdr:rowOff>
    </xdr:from>
    <xdr:to>
      <xdr:col>30</xdr:col>
      <xdr:colOff>0</xdr:colOff>
      <xdr:row>28</xdr:row>
      <xdr:rowOff>47625</xdr:rowOff>
    </xdr:to>
    <xdr:cxnSp macro="">
      <xdr:nvCxnSpPr>
        <xdr:cNvPr id="3" name="Rechte verbindingslijn 2"/>
        <xdr:cNvCxnSpPr/>
      </xdr:nvCxnSpPr>
      <xdr:spPr>
        <a:xfrm>
          <a:off x="57150" y="4448175"/>
          <a:ext cx="575310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11</xdr:row>
          <xdr:rowOff>9525</xdr:rowOff>
        </xdr:from>
        <xdr:to>
          <xdr:col>23</xdr:col>
          <xdr:colOff>123825</xdr:colOff>
          <xdr:row>12</xdr:row>
          <xdr:rowOff>38100</xdr:rowOff>
        </xdr:to>
        <xdr:sp macro="" textlink="">
          <xdr:nvSpPr>
            <xdr:cNvPr id="47171" name="Check Box 67" hidden="1">
              <a:extLst>
                <a:ext uri="{63B3BB69-23CF-44E3-9099-C40C66FF867C}">
                  <a14:compatExt spid="_x0000_s4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95250</xdr:rowOff>
        </xdr:from>
        <xdr:to>
          <xdr:col>23</xdr:col>
          <xdr:colOff>114300</xdr:colOff>
          <xdr:row>34</xdr:row>
          <xdr:rowOff>28575</xdr:rowOff>
        </xdr:to>
        <xdr:sp macro="" textlink="">
          <xdr:nvSpPr>
            <xdr:cNvPr id="47180" name="Check Box 76" hidden="1">
              <a:extLst>
                <a:ext uri="{63B3BB69-23CF-44E3-9099-C40C66FF867C}">
                  <a14:compatExt spid="_x0000_s4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76200</xdr:rowOff>
        </xdr:from>
        <xdr:to>
          <xdr:col>23</xdr:col>
          <xdr:colOff>114300</xdr:colOff>
          <xdr:row>36</xdr:row>
          <xdr:rowOff>9525</xdr:rowOff>
        </xdr:to>
        <xdr:sp macro="" textlink="">
          <xdr:nvSpPr>
            <xdr:cNvPr id="47187" name="Check Box 83" hidden="1">
              <a:extLst>
                <a:ext uri="{63B3BB69-23CF-44E3-9099-C40C66FF867C}">
                  <a14:compatExt spid="_x0000_s4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47625</xdr:colOff>
      <xdr:row>14</xdr:row>
      <xdr:rowOff>28575</xdr:rowOff>
    </xdr:from>
    <xdr:to>
      <xdr:col>29</xdr:col>
      <xdr:colOff>323850</xdr:colOff>
      <xdr:row>18</xdr:row>
      <xdr:rowOff>0</xdr:rowOff>
    </xdr:to>
    <xdr:sp macro="" textlink="">
      <xdr:nvSpPr>
        <xdr:cNvPr id="2" name="Rechthoek 1"/>
        <xdr:cNvSpPr/>
      </xdr:nvSpPr>
      <xdr:spPr>
        <a:xfrm>
          <a:off x="4133850" y="2743200"/>
          <a:ext cx="1609725" cy="638175"/>
        </a:xfrm>
        <a:prstGeom prst="rect">
          <a:avLst/>
        </a:prstGeom>
        <a:noFill/>
        <a:ln w="3175">
          <a:solidFill>
            <a:schemeClr val="bg1">
              <a:lumMod val="50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20</xdr:col>
      <xdr:colOff>85725</xdr:colOff>
      <xdr:row>21</xdr:row>
      <xdr:rowOff>38100</xdr:rowOff>
    </xdr:from>
    <xdr:to>
      <xdr:col>21</xdr:col>
      <xdr:colOff>9525</xdr:colOff>
      <xdr:row>22</xdr:row>
      <xdr:rowOff>171450</xdr:rowOff>
    </xdr:to>
    <xdr:cxnSp macro="">
      <xdr:nvCxnSpPr>
        <xdr:cNvPr id="5" name="Rechte verbindingslijn met pijl 4"/>
        <xdr:cNvCxnSpPr/>
      </xdr:nvCxnSpPr>
      <xdr:spPr>
        <a:xfrm flipH="1">
          <a:off x="3895725" y="3895725"/>
          <a:ext cx="114300" cy="32385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prstDash val="lgDashDot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152400</xdr:colOff>
      <xdr:row>2</xdr:row>
      <xdr:rowOff>28575</xdr:rowOff>
    </xdr:from>
    <xdr:to>
      <xdr:col>37</xdr:col>
      <xdr:colOff>238125</xdr:colOff>
      <xdr:row>8</xdr:row>
      <xdr:rowOff>180975</xdr:rowOff>
    </xdr:to>
    <xdr:sp macro="" textlink="">
      <xdr:nvSpPr>
        <xdr:cNvPr id="8" name="Vierkante haak rechts 7"/>
        <xdr:cNvSpPr/>
      </xdr:nvSpPr>
      <xdr:spPr>
        <a:xfrm>
          <a:off x="5962650" y="457200"/>
          <a:ext cx="85725" cy="12954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29</xdr:col>
      <xdr:colOff>333375</xdr:colOff>
      <xdr:row>21</xdr:row>
      <xdr:rowOff>28575</xdr:rowOff>
    </xdr:to>
    <xdr:sp macro="" textlink="">
      <xdr:nvSpPr>
        <xdr:cNvPr id="19" name="Rechthoek 18"/>
        <xdr:cNvSpPr/>
      </xdr:nvSpPr>
      <xdr:spPr>
        <a:xfrm>
          <a:off x="190500" y="3381375"/>
          <a:ext cx="5562600" cy="504825"/>
        </a:xfrm>
        <a:prstGeom prst="rect">
          <a:avLst/>
        </a:prstGeom>
        <a:noFill/>
        <a:ln w="3175">
          <a:solidFill>
            <a:schemeClr val="bg1">
              <a:lumMod val="50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3922</xdr:colOff>
      <xdr:row>29</xdr:row>
      <xdr:rowOff>138953</xdr:rowOff>
    </xdr:from>
    <xdr:to>
      <xdr:col>21</xdr:col>
      <xdr:colOff>175371</xdr:colOff>
      <xdr:row>39</xdr:row>
      <xdr:rowOff>5603</xdr:rowOff>
    </xdr:to>
    <xdr:pic>
      <xdr:nvPicPr>
        <xdr:cNvPr id="30" name="Afbeelding 3" descr="ladder afmetin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5" t="2809" r="33644" b="1191"/>
        <a:stretch/>
      </xdr:blipFill>
      <xdr:spPr bwMode="auto">
        <a:xfrm>
          <a:off x="3051922" y="5311028"/>
          <a:ext cx="1190624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66674</xdr:colOff>
      <xdr:row>13</xdr:row>
      <xdr:rowOff>180977</xdr:rowOff>
    </xdr:from>
    <xdr:to>
      <xdr:col>28</xdr:col>
      <xdr:colOff>47623</xdr:colOff>
      <xdr:row>16</xdr:row>
      <xdr:rowOff>38099</xdr:rowOff>
    </xdr:to>
    <xdr:pic>
      <xdr:nvPicPr>
        <xdr:cNvPr id="14" name="irc_mi" descr="Afbeeldingsresultaat voor ladder draw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49" y="2705102"/>
          <a:ext cx="171449" cy="342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0</xdr:row>
      <xdr:rowOff>0</xdr:rowOff>
    </xdr:from>
    <xdr:to>
      <xdr:col>7</xdr:col>
      <xdr:colOff>85726</xdr:colOff>
      <xdr:row>1</xdr:row>
      <xdr:rowOff>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0"/>
          <a:ext cx="238126" cy="238126"/>
        </a:xfrm>
        <a:prstGeom prst="rect">
          <a:avLst/>
        </a:prstGeom>
      </xdr:spPr>
    </xdr:pic>
    <xdr:clientData/>
  </xdr:twoCellAnchor>
  <xdr:twoCellAnchor>
    <xdr:from>
      <xdr:col>35</xdr:col>
      <xdr:colOff>123825</xdr:colOff>
      <xdr:row>2</xdr:row>
      <xdr:rowOff>0</xdr:rowOff>
    </xdr:from>
    <xdr:to>
      <xdr:col>35</xdr:col>
      <xdr:colOff>209550</xdr:colOff>
      <xdr:row>8</xdr:row>
      <xdr:rowOff>152400</xdr:rowOff>
    </xdr:to>
    <xdr:sp macro="" textlink="">
      <xdr:nvSpPr>
        <xdr:cNvPr id="4" name="Vierkante haak rechts 3"/>
        <xdr:cNvSpPr/>
      </xdr:nvSpPr>
      <xdr:spPr>
        <a:xfrm>
          <a:off x="5962650" y="371475"/>
          <a:ext cx="85725" cy="12954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17</xdr:col>
          <xdr:colOff>38100</xdr:colOff>
          <xdr:row>11</xdr:row>
          <xdr:rowOff>28575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27</xdr:col>
      <xdr:colOff>47625</xdr:colOff>
      <xdr:row>18</xdr:row>
      <xdr:rowOff>76200</xdr:rowOff>
    </xdr:from>
    <xdr:to>
      <xdr:col>28</xdr:col>
      <xdr:colOff>4763</xdr:colOff>
      <xdr:row>20</xdr:row>
      <xdr:rowOff>76200</xdr:rowOff>
    </xdr:to>
    <xdr:pic>
      <xdr:nvPicPr>
        <xdr:cNvPr id="15" name="irc_mi" descr="Afbeeldingsresultaat voor ladder draw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381375"/>
          <a:ext cx="147638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57150</xdr:colOff>
      <xdr:row>16</xdr:row>
      <xdr:rowOff>47625</xdr:rowOff>
    </xdr:from>
    <xdr:to>
      <xdr:col>28</xdr:col>
      <xdr:colOff>14288</xdr:colOff>
      <xdr:row>18</xdr:row>
      <xdr:rowOff>47625</xdr:rowOff>
    </xdr:to>
    <xdr:pic>
      <xdr:nvPicPr>
        <xdr:cNvPr id="17" name="irc_mi" descr="Afbeeldingsresultaat voor ladder draw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57525"/>
          <a:ext cx="147638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180975</xdr:colOff>
      <xdr:row>18</xdr:row>
      <xdr:rowOff>76200</xdr:rowOff>
    </xdr:from>
    <xdr:to>
      <xdr:col>28</xdr:col>
      <xdr:colOff>76200</xdr:colOff>
      <xdr:row>20</xdr:row>
      <xdr:rowOff>76200</xdr:rowOff>
    </xdr:to>
    <xdr:sp macro="" textlink="">
      <xdr:nvSpPr>
        <xdr:cNvPr id="2" name="Verbodssymbool 1"/>
        <xdr:cNvSpPr/>
      </xdr:nvSpPr>
      <xdr:spPr>
        <a:xfrm>
          <a:off x="5314950" y="3381375"/>
          <a:ext cx="276225" cy="295275"/>
        </a:xfrm>
        <a:prstGeom prst="noSmoking">
          <a:avLst>
            <a:gd name="adj" fmla="val 4825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114300</xdr:colOff>
      <xdr:row>16</xdr:row>
      <xdr:rowOff>57150</xdr:rowOff>
    </xdr:from>
    <xdr:to>
      <xdr:col>28</xdr:col>
      <xdr:colOff>95250</xdr:colOff>
      <xdr:row>18</xdr:row>
      <xdr:rowOff>45584</xdr:rowOff>
    </xdr:to>
    <xdr:pic>
      <xdr:nvPicPr>
        <xdr:cNvPr id="21" name="irc_mi" descr="Afbeeldingsresultaat voor vraagtek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7" t="27469" r="37037" b="29630"/>
        <a:stretch/>
      </xdr:blipFill>
      <xdr:spPr bwMode="auto">
        <a:xfrm>
          <a:off x="5438775" y="3067050"/>
          <a:ext cx="171450" cy="283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19050</xdr:rowOff>
        </xdr:from>
        <xdr:to>
          <xdr:col>2</xdr:col>
          <xdr:colOff>161925</xdr:colOff>
          <xdr:row>14</xdr:row>
          <xdr:rowOff>47625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161925</xdr:colOff>
          <xdr:row>16</xdr:row>
          <xdr:rowOff>28575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161925</xdr:colOff>
          <xdr:row>18</xdr:row>
          <xdr:rowOff>28575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161925</xdr:colOff>
          <xdr:row>13</xdr:row>
          <xdr:rowOff>28575</xdr:rowOff>
        </xdr:to>
        <xdr:sp macro="" textlink="">
          <xdr:nvSpPr>
            <xdr:cNvPr id="62487" name="Check Box 23" hidden="1">
              <a:extLst>
                <a:ext uri="{63B3BB69-23CF-44E3-9099-C40C66FF867C}">
                  <a14:compatExt spid="_x0000_s6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161925</xdr:colOff>
          <xdr:row>13</xdr:row>
          <xdr:rowOff>28575</xdr:rowOff>
        </xdr:to>
        <xdr:sp macro="" textlink="">
          <xdr:nvSpPr>
            <xdr:cNvPr id="62491" name="Check Box 27" hidden="1">
              <a:extLst>
                <a:ext uri="{63B3BB69-23CF-44E3-9099-C40C66FF867C}">
                  <a14:compatExt spid="_x0000_s6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171450</xdr:rowOff>
        </xdr:from>
        <xdr:to>
          <xdr:col>2</xdr:col>
          <xdr:colOff>9525</xdr:colOff>
          <xdr:row>26</xdr:row>
          <xdr:rowOff>0</xdr:rowOff>
        </xdr:to>
        <xdr:sp macro="" textlink="">
          <xdr:nvSpPr>
            <xdr:cNvPr id="62495" name="Check Box 31" hidden="1">
              <a:extLst>
                <a:ext uri="{63B3BB69-23CF-44E3-9099-C40C66FF867C}">
                  <a14:compatExt spid="_x0000_s6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171450</xdr:rowOff>
        </xdr:from>
        <xdr:to>
          <xdr:col>17</xdr:col>
          <xdr:colOff>38100</xdr:colOff>
          <xdr:row>26</xdr:row>
          <xdr:rowOff>0</xdr:rowOff>
        </xdr:to>
        <xdr:sp macro="" textlink="">
          <xdr:nvSpPr>
            <xdr:cNvPr id="62496" name="Check Box 32" hidden="1">
              <a:extLst>
                <a:ext uri="{63B3BB69-23CF-44E3-9099-C40C66FF867C}">
                  <a14:compatExt spid="_x0000_s6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2</xdr:col>
          <xdr:colOff>9525</xdr:colOff>
          <xdr:row>11</xdr:row>
          <xdr:rowOff>28575</xdr:rowOff>
        </xdr:to>
        <xdr:sp macro="" textlink="">
          <xdr:nvSpPr>
            <xdr:cNvPr id="62497" name="Check Box 33" hidden="1">
              <a:extLst>
                <a:ext uri="{63B3BB69-23CF-44E3-9099-C40C66FF867C}">
                  <a14:compatExt spid="_x0000_s6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180975</xdr:rowOff>
        </xdr:from>
        <xdr:to>
          <xdr:col>2</xdr:col>
          <xdr:colOff>161925</xdr:colOff>
          <xdr:row>29</xdr:row>
          <xdr:rowOff>47625</xdr:rowOff>
        </xdr:to>
        <xdr:sp macro="" textlink="">
          <xdr:nvSpPr>
            <xdr:cNvPr id="62498" name="Check Box 34" hidden="1">
              <a:extLst>
                <a:ext uri="{63B3BB69-23CF-44E3-9099-C40C66FF867C}">
                  <a14:compatExt spid="_x0000_s6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142875</xdr:rowOff>
        </xdr:from>
        <xdr:to>
          <xdr:col>2</xdr:col>
          <xdr:colOff>161925</xdr:colOff>
          <xdr:row>31</xdr:row>
          <xdr:rowOff>28575</xdr:rowOff>
        </xdr:to>
        <xdr:sp macro="" textlink="">
          <xdr:nvSpPr>
            <xdr:cNvPr id="62499" name="Check Box 35" hidden="1">
              <a:extLst>
                <a:ext uri="{63B3BB69-23CF-44E3-9099-C40C66FF867C}">
                  <a14:compatExt spid="_x0000_s6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161925</xdr:colOff>
          <xdr:row>33</xdr:row>
          <xdr:rowOff>28575</xdr:rowOff>
        </xdr:to>
        <xdr:sp macro="" textlink="">
          <xdr:nvSpPr>
            <xdr:cNvPr id="62501" name="Check Box 37" hidden="1">
              <a:extLst>
                <a:ext uri="{63B3BB69-23CF-44E3-9099-C40C66FF867C}">
                  <a14:compatExt spid="_x0000_s6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171450</xdr:rowOff>
        </xdr:from>
        <xdr:to>
          <xdr:col>2</xdr:col>
          <xdr:colOff>9525</xdr:colOff>
          <xdr:row>34</xdr:row>
          <xdr:rowOff>19050</xdr:rowOff>
        </xdr:to>
        <xdr:sp macro="" textlink="">
          <xdr:nvSpPr>
            <xdr:cNvPr id="62502" name="Check Box 38" hidden="1">
              <a:extLst>
                <a:ext uri="{63B3BB69-23CF-44E3-9099-C40C66FF867C}">
                  <a14:compatExt spid="_x0000_s6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2</xdr:col>
          <xdr:colOff>161925</xdr:colOff>
          <xdr:row>46</xdr:row>
          <xdr:rowOff>57150</xdr:rowOff>
        </xdr:to>
        <xdr:sp macro="" textlink="">
          <xdr:nvSpPr>
            <xdr:cNvPr id="62516" name="Check Box 52" hidden="1">
              <a:extLst>
                <a:ext uri="{63B3BB69-23CF-44E3-9099-C40C66FF867C}">
                  <a14:compatExt spid="_x0000_s6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0</xdr:rowOff>
        </xdr:from>
        <xdr:to>
          <xdr:col>2</xdr:col>
          <xdr:colOff>152400</xdr:colOff>
          <xdr:row>35</xdr:row>
          <xdr:rowOff>47625</xdr:rowOff>
        </xdr:to>
        <xdr:sp macro="" textlink="">
          <xdr:nvSpPr>
            <xdr:cNvPr id="62517" name="Check Box 53" hidden="1">
              <a:extLst>
                <a:ext uri="{63B3BB69-23CF-44E3-9099-C40C66FF867C}">
                  <a14:compatExt spid="_x0000_s6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25</xdr:row>
          <xdr:rowOff>180975</xdr:rowOff>
        </xdr:from>
        <xdr:to>
          <xdr:col>17</xdr:col>
          <xdr:colOff>123825</xdr:colOff>
          <xdr:row>27</xdr:row>
          <xdr:rowOff>9525</xdr:rowOff>
        </xdr:to>
        <xdr:sp macro="" textlink="">
          <xdr:nvSpPr>
            <xdr:cNvPr id="62518" name="Check Box 54" hidden="1">
              <a:extLst>
                <a:ext uri="{63B3BB69-23CF-44E3-9099-C40C66FF867C}">
                  <a14:compatExt spid="_x0000_s6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172576</xdr:colOff>
      <xdr:row>33</xdr:row>
      <xdr:rowOff>124553</xdr:rowOff>
    </xdr:from>
    <xdr:to>
      <xdr:col>18</xdr:col>
      <xdr:colOff>108535</xdr:colOff>
      <xdr:row>35</xdr:row>
      <xdr:rowOff>180931</xdr:rowOff>
    </xdr:to>
    <xdr:sp macro="" textlink="">
      <xdr:nvSpPr>
        <xdr:cNvPr id="5" name="Linkeraccolade 4"/>
        <xdr:cNvSpPr/>
      </xdr:nvSpPr>
      <xdr:spPr>
        <a:xfrm rot="21000000">
          <a:off x="3545547" y="5985229"/>
          <a:ext cx="109650" cy="437378"/>
        </a:xfrm>
        <a:prstGeom prst="leftBrac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16</xdr:col>
      <xdr:colOff>84044</xdr:colOff>
      <xdr:row>32</xdr:row>
      <xdr:rowOff>123265</xdr:rowOff>
    </xdr:from>
    <xdr:to>
      <xdr:col>18</xdr:col>
      <xdr:colOff>117662</xdr:colOff>
      <xdr:row>33</xdr:row>
      <xdr:rowOff>78442</xdr:rowOff>
    </xdr:to>
    <xdr:cxnSp macro="">
      <xdr:nvCxnSpPr>
        <xdr:cNvPr id="8" name="Rechte verbindingslijn 7"/>
        <xdr:cNvCxnSpPr/>
      </xdr:nvCxnSpPr>
      <xdr:spPr>
        <a:xfrm flipV="1">
          <a:off x="3305735" y="5793441"/>
          <a:ext cx="358589" cy="14567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124385</xdr:colOff>
      <xdr:row>31</xdr:row>
      <xdr:rowOff>50131</xdr:rowOff>
    </xdr:from>
    <xdr:to>
      <xdr:col>21</xdr:col>
      <xdr:colOff>135355</xdr:colOff>
      <xdr:row>32</xdr:row>
      <xdr:rowOff>34740</xdr:rowOff>
    </xdr:to>
    <xdr:cxnSp macro="">
      <xdr:nvCxnSpPr>
        <xdr:cNvPr id="37" name="Rechte verbindingslijn 36"/>
        <xdr:cNvCxnSpPr/>
      </xdr:nvCxnSpPr>
      <xdr:spPr>
        <a:xfrm flipV="1">
          <a:off x="3849161" y="5569618"/>
          <a:ext cx="341839" cy="119964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68356</xdr:colOff>
      <xdr:row>32</xdr:row>
      <xdr:rowOff>73959</xdr:rowOff>
    </xdr:from>
    <xdr:to>
      <xdr:col>18</xdr:col>
      <xdr:colOff>101974</xdr:colOff>
      <xdr:row>33</xdr:row>
      <xdr:rowOff>29136</xdr:rowOff>
    </xdr:to>
    <xdr:cxnSp macro="">
      <xdr:nvCxnSpPr>
        <xdr:cNvPr id="38" name="Rechte verbindingslijn 37"/>
        <xdr:cNvCxnSpPr/>
      </xdr:nvCxnSpPr>
      <xdr:spPr>
        <a:xfrm flipV="1">
          <a:off x="3290047" y="5744135"/>
          <a:ext cx="358589" cy="14567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108697</xdr:colOff>
      <xdr:row>31</xdr:row>
      <xdr:rowOff>5603</xdr:rowOff>
    </xdr:from>
    <xdr:to>
      <xdr:col>21</xdr:col>
      <xdr:colOff>0</xdr:colOff>
      <xdr:row>31</xdr:row>
      <xdr:rowOff>97493</xdr:rowOff>
    </xdr:to>
    <xdr:cxnSp macro="">
      <xdr:nvCxnSpPr>
        <xdr:cNvPr id="39" name="Rechte verbindingslijn 38"/>
        <xdr:cNvCxnSpPr/>
      </xdr:nvCxnSpPr>
      <xdr:spPr>
        <a:xfrm flipV="1">
          <a:off x="3845859" y="5513294"/>
          <a:ext cx="227479" cy="9189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31</xdr:row>
      <xdr:rowOff>0</xdr:rowOff>
    </xdr:from>
    <xdr:to>
      <xdr:col>21</xdr:col>
      <xdr:colOff>130549</xdr:colOff>
      <xdr:row>31</xdr:row>
      <xdr:rowOff>128870</xdr:rowOff>
    </xdr:to>
    <xdr:cxnSp macro="">
      <xdr:nvCxnSpPr>
        <xdr:cNvPr id="41" name="Rechte verbindingslijn 40"/>
        <xdr:cNvCxnSpPr/>
      </xdr:nvCxnSpPr>
      <xdr:spPr>
        <a:xfrm flipV="1">
          <a:off x="3762375" y="5505450"/>
          <a:ext cx="359149" cy="12887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29135</xdr:colOff>
      <xdr:row>32</xdr:row>
      <xdr:rowOff>40342</xdr:rowOff>
    </xdr:from>
    <xdr:to>
      <xdr:col>18</xdr:col>
      <xdr:colOff>62753</xdr:colOff>
      <xdr:row>32</xdr:row>
      <xdr:rowOff>186019</xdr:rowOff>
    </xdr:to>
    <xdr:cxnSp macro="">
      <xdr:nvCxnSpPr>
        <xdr:cNvPr id="44" name="Rechte verbindingslijn 43"/>
        <xdr:cNvCxnSpPr/>
      </xdr:nvCxnSpPr>
      <xdr:spPr>
        <a:xfrm flipV="1">
          <a:off x="3250826" y="5710518"/>
          <a:ext cx="358589" cy="14567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134471</xdr:colOff>
      <xdr:row>31</xdr:row>
      <xdr:rowOff>0</xdr:rowOff>
    </xdr:from>
    <xdr:to>
      <xdr:col>21</xdr:col>
      <xdr:colOff>135355</xdr:colOff>
      <xdr:row>31</xdr:row>
      <xdr:rowOff>61633</xdr:rowOff>
    </xdr:to>
    <xdr:cxnSp macro="">
      <xdr:nvCxnSpPr>
        <xdr:cNvPr id="45" name="Rechte verbindingslijn 44"/>
        <xdr:cNvCxnSpPr/>
      </xdr:nvCxnSpPr>
      <xdr:spPr>
        <a:xfrm flipV="1">
          <a:off x="4190116" y="5519487"/>
          <a:ext cx="884" cy="61633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128867</xdr:colOff>
      <xdr:row>30</xdr:row>
      <xdr:rowOff>78441</xdr:rowOff>
    </xdr:from>
    <xdr:to>
      <xdr:col>21</xdr:col>
      <xdr:colOff>140074</xdr:colOff>
      <xdr:row>31</xdr:row>
      <xdr:rowOff>0</xdr:rowOff>
    </xdr:to>
    <xdr:cxnSp macro="">
      <xdr:nvCxnSpPr>
        <xdr:cNvPr id="49" name="Rechte verbindingslijn 48"/>
        <xdr:cNvCxnSpPr/>
      </xdr:nvCxnSpPr>
      <xdr:spPr>
        <a:xfrm>
          <a:off x="3866029" y="5423647"/>
          <a:ext cx="347383" cy="84044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112059</xdr:colOff>
      <xdr:row>30</xdr:row>
      <xdr:rowOff>100853</xdr:rowOff>
    </xdr:from>
    <xdr:to>
      <xdr:col>20</xdr:col>
      <xdr:colOff>168089</xdr:colOff>
      <xdr:row>31</xdr:row>
      <xdr:rowOff>5604</xdr:rowOff>
    </xdr:to>
    <xdr:cxnSp macro="">
      <xdr:nvCxnSpPr>
        <xdr:cNvPr id="53" name="Rechte verbindingslijn 52"/>
        <xdr:cNvCxnSpPr/>
      </xdr:nvCxnSpPr>
      <xdr:spPr>
        <a:xfrm>
          <a:off x="3849221" y="5446059"/>
          <a:ext cx="218515" cy="67236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106456</xdr:colOff>
      <xdr:row>31</xdr:row>
      <xdr:rowOff>68359</xdr:rowOff>
    </xdr:from>
    <xdr:to>
      <xdr:col>21</xdr:col>
      <xdr:colOff>107577</xdr:colOff>
      <xdr:row>36</xdr:row>
      <xdr:rowOff>123265</xdr:rowOff>
    </xdr:to>
    <xdr:cxnSp macro="">
      <xdr:nvCxnSpPr>
        <xdr:cNvPr id="58" name="Rechte verbindingslijn 57"/>
        <xdr:cNvCxnSpPr/>
      </xdr:nvCxnSpPr>
      <xdr:spPr>
        <a:xfrm flipV="1">
          <a:off x="4179794" y="5576050"/>
          <a:ext cx="1121" cy="979391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44824</xdr:colOff>
      <xdr:row>37</xdr:row>
      <xdr:rowOff>93010</xdr:rowOff>
    </xdr:from>
    <xdr:to>
      <xdr:col>19</xdr:col>
      <xdr:colOff>14568</xdr:colOff>
      <xdr:row>38</xdr:row>
      <xdr:rowOff>89647</xdr:rowOff>
    </xdr:to>
    <xdr:cxnSp macro="">
      <xdr:nvCxnSpPr>
        <xdr:cNvPr id="61" name="Rechte verbindingslijn 60"/>
        <xdr:cNvCxnSpPr/>
      </xdr:nvCxnSpPr>
      <xdr:spPr>
        <a:xfrm flipV="1">
          <a:off x="3266515" y="6715686"/>
          <a:ext cx="485215" cy="198343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158003</xdr:colOff>
      <xdr:row>36</xdr:row>
      <xdr:rowOff>117662</xdr:rowOff>
    </xdr:from>
    <xdr:to>
      <xdr:col>21</xdr:col>
      <xdr:colOff>106456</xdr:colOff>
      <xdr:row>36</xdr:row>
      <xdr:rowOff>163608</xdr:rowOff>
    </xdr:to>
    <xdr:cxnSp macro="">
      <xdr:nvCxnSpPr>
        <xdr:cNvPr id="63" name="Rechte verbindingslijn 62"/>
        <xdr:cNvCxnSpPr/>
      </xdr:nvCxnSpPr>
      <xdr:spPr>
        <a:xfrm flipV="1">
          <a:off x="4057650" y="6549838"/>
          <a:ext cx="122144" cy="45946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67235</xdr:colOff>
      <xdr:row>31</xdr:row>
      <xdr:rowOff>123265</xdr:rowOff>
    </xdr:from>
    <xdr:to>
      <xdr:col>21</xdr:col>
      <xdr:colOff>128868</xdr:colOff>
      <xdr:row>37</xdr:row>
      <xdr:rowOff>196103</xdr:rowOff>
    </xdr:to>
    <xdr:cxnSp macro="">
      <xdr:nvCxnSpPr>
        <xdr:cNvPr id="62505" name="Rechte verbindingslijn met pijl 62504"/>
        <xdr:cNvCxnSpPr/>
      </xdr:nvCxnSpPr>
      <xdr:spPr>
        <a:xfrm>
          <a:off x="3966882" y="5630956"/>
          <a:ext cx="235324" cy="11878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72279</xdr:colOff>
      <xdr:row>38</xdr:row>
      <xdr:rowOff>18490</xdr:rowOff>
    </xdr:from>
    <xdr:to>
      <xdr:col>19</xdr:col>
      <xdr:colOff>55469</xdr:colOff>
      <xdr:row>38</xdr:row>
      <xdr:rowOff>161925</xdr:rowOff>
    </xdr:to>
    <xdr:cxnSp macro="">
      <xdr:nvCxnSpPr>
        <xdr:cNvPr id="69" name="Rechte verbindingslijn met pijl 68"/>
        <xdr:cNvCxnSpPr/>
      </xdr:nvCxnSpPr>
      <xdr:spPr>
        <a:xfrm>
          <a:off x="3367929" y="6714565"/>
          <a:ext cx="345140" cy="14343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41</xdr:row>
          <xdr:rowOff>180975</xdr:rowOff>
        </xdr:from>
        <xdr:to>
          <xdr:col>17</xdr:col>
          <xdr:colOff>114300</xdr:colOff>
          <xdr:row>43</xdr:row>
          <xdr:rowOff>19050</xdr:rowOff>
        </xdr:to>
        <xdr:sp macro="" textlink="">
          <xdr:nvSpPr>
            <xdr:cNvPr id="62525" name="Check Box 61" hidden="1">
              <a:extLst>
                <a:ext uri="{63B3BB69-23CF-44E3-9099-C40C66FF867C}">
                  <a14:compatExt spid="_x0000_s6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152400</xdr:rowOff>
        </xdr:from>
        <xdr:to>
          <xdr:col>17</xdr:col>
          <xdr:colOff>38100</xdr:colOff>
          <xdr:row>48</xdr:row>
          <xdr:rowOff>9525</xdr:rowOff>
        </xdr:to>
        <xdr:sp macro="" textlink="">
          <xdr:nvSpPr>
            <xdr:cNvPr id="62530" name="Check Box 66" hidden="1">
              <a:extLst>
                <a:ext uri="{63B3BB69-23CF-44E3-9099-C40C66FF867C}">
                  <a14:compatExt spid="_x0000_s6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kcasteleyn\AppData\Local\Microsoft\Windows\LEGISLATION-OFFICIALSTANDARDS\LEGISLATION\EC\environment\WASTE\REG%201357%202014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9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/>
  <dimension ref="A1:BU91"/>
  <sheetViews>
    <sheetView tabSelected="1" view="pageBreakPreview" zoomScale="110" zoomScaleNormal="100" zoomScaleSheetLayoutView="110" workbookViewId="0">
      <selection activeCell="AS28" sqref="AS28"/>
    </sheetView>
  </sheetViews>
  <sheetFormatPr defaultRowHeight="15" x14ac:dyDescent="0.25"/>
  <cols>
    <col min="1" max="29" width="2.85546875" customWidth="1"/>
    <col min="30" max="30" width="4.28515625" customWidth="1"/>
    <col min="31" max="33" width="9.140625" hidden="1" customWidth="1"/>
    <col min="34" max="34" width="9.140625" style="4" hidden="1" customWidth="1"/>
    <col min="35" max="38" width="9.140625" hidden="1" customWidth="1"/>
    <col min="39" max="41" width="0" hidden="1" customWidth="1"/>
    <col min="42" max="73" width="2.85546875" customWidth="1"/>
  </cols>
  <sheetData>
    <row r="1" spans="1:34" ht="18.75" x14ac:dyDescent="0.3">
      <c r="A1" s="620" t="s">
        <v>2409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2"/>
    </row>
    <row r="2" spans="1:34" x14ac:dyDescent="0.25">
      <c r="A2" s="625" t="s">
        <v>2356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7"/>
    </row>
    <row r="3" spans="1:34" x14ac:dyDescent="0.25">
      <c r="A3" s="628" t="s">
        <v>2357</v>
      </c>
      <c r="B3" s="629"/>
      <c r="C3" s="630"/>
      <c r="D3" s="604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6"/>
      <c r="AH3" s="364"/>
    </row>
    <row r="4" spans="1:34" x14ac:dyDescent="0.25">
      <c r="A4" s="628" t="s">
        <v>2358</v>
      </c>
      <c r="B4" s="629"/>
      <c r="C4" s="629"/>
      <c r="D4" s="629"/>
      <c r="E4" s="629"/>
      <c r="F4" s="630"/>
      <c r="G4" s="605" t="s">
        <v>2577</v>
      </c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6"/>
      <c r="AH4" s="364"/>
    </row>
    <row r="5" spans="1:34" x14ac:dyDescent="0.25">
      <c r="A5" s="358"/>
      <c r="B5" s="359"/>
      <c r="C5" s="359"/>
      <c r="D5" s="359"/>
      <c r="E5" s="359"/>
      <c r="F5" s="360"/>
      <c r="G5" s="605" t="s">
        <v>2577</v>
      </c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6"/>
      <c r="AH5" s="364"/>
    </row>
    <row r="6" spans="1:34" x14ac:dyDescent="0.25">
      <c r="A6" s="361"/>
      <c r="B6" s="362"/>
      <c r="C6" s="362"/>
      <c r="D6" s="362"/>
      <c r="E6" s="362"/>
      <c r="F6" s="363"/>
      <c r="G6" s="623" t="s">
        <v>2577</v>
      </c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4"/>
      <c r="AH6" s="364"/>
    </row>
    <row r="7" spans="1:34" x14ac:dyDescent="0.25">
      <c r="A7" s="601" t="s">
        <v>2362</v>
      </c>
      <c r="B7" s="602"/>
      <c r="C7" s="602"/>
      <c r="D7" s="602"/>
      <c r="E7" s="602"/>
      <c r="F7" s="602"/>
      <c r="G7" s="602"/>
      <c r="H7" s="602"/>
      <c r="I7" s="602"/>
      <c r="J7" s="603"/>
      <c r="K7" s="604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6"/>
      <c r="AH7" s="364"/>
    </row>
    <row r="8" spans="1:34" x14ac:dyDescent="0.25">
      <c r="A8" s="601" t="s">
        <v>2359</v>
      </c>
      <c r="B8" s="602"/>
      <c r="C8" s="602"/>
      <c r="D8" s="602"/>
      <c r="E8" s="603"/>
      <c r="F8" s="615"/>
      <c r="G8" s="616"/>
      <c r="H8" s="616"/>
      <c r="I8" s="617"/>
      <c r="J8" s="613" t="s">
        <v>2360</v>
      </c>
      <c r="K8" s="614"/>
      <c r="L8" s="611"/>
      <c r="M8" s="612"/>
      <c r="N8" s="618" t="s">
        <v>2363</v>
      </c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9"/>
      <c r="AH8" s="364"/>
    </row>
    <row r="9" spans="1:34" x14ac:dyDescent="0.25">
      <c r="A9" s="601" t="s">
        <v>2361</v>
      </c>
      <c r="B9" s="602"/>
      <c r="C9" s="602"/>
      <c r="D9" s="602"/>
      <c r="E9" s="603"/>
      <c r="F9" s="607"/>
      <c r="G9" s="605"/>
      <c r="H9" s="605"/>
      <c r="I9" s="606"/>
      <c r="J9" s="613" t="s">
        <v>2360</v>
      </c>
      <c r="K9" s="614"/>
      <c r="L9" s="611"/>
      <c r="M9" s="612"/>
      <c r="N9" s="598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600"/>
      <c r="AH9" s="364"/>
    </row>
    <row r="10" spans="1:34" x14ac:dyDescent="0.25">
      <c r="A10" s="608" t="s">
        <v>2370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10"/>
      <c r="AH10" s="364"/>
    </row>
    <row r="11" spans="1:34" x14ac:dyDescent="0.25">
      <c r="A11" s="412"/>
      <c r="B11" s="366" t="s">
        <v>2378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 t="s">
        <v>2372</v>
      </c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7"/>
      <c r="AE11" t="b">
        <v>0</v>
      </c>
      <c r="AF11" t="b">
        <v>0</v>
      </c>
      <c r="AG11" t="b">
        <f>'CLP labels'!D12</f>
        <v>0</v>
      </c>
      <c r="AH11" s="364"/>
    </row>
    <row r="12" spans="1:34" x14ac:dyDescent="0.25">
      <c r="A12" s="412"/>
      <c r="B12" s="366" t="s">
        <v>2365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 t="s">
        <v>2410</v>
      </c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7"/>
      <c r="AE12" t="b">
        <v>0</v>
      </c>
      <c r="AF12" t="b">
        <v>0</v>
      </c>
      <c r="AH12" s="364"/>
    </row>
    <row r="13" spans="1:34" x14ac:dyDescent="0.25">
      <c r="A13" s="412"/>
      <c r="B13" s="366" t="s">
        <v>2364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 t="s">
        <v>2385</v>
      </c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7"/>
      <c r="AE13" t="b">
        <v>0</v>
      </c>
      <c r="AF13" t="b">
        <v>0</v>
      </c>
      <c r="AH13" s="364"/>
    </row>
    <row r="14" spans="1:34" x14ac:dyDescent="0.25">
      <c r="A14" s="412"/>
      <c r="B14" s="366" t="s">
        <v>2379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 t="s">
        <v>2366</v>
      </c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7"/>
      <c r="AE14" t="b">
        <v>0</v>
      </c>
      <c r="AF14" t="b">
        <v>0</v>
      </c>
      <c r="AH14" s="364"/>
    </row>
    <row r="15" spans="1:34" x14ac:dyDescent="0.25">
      <c r="A15" s="412"/>
      <c r="B15" s="366" t="s">
        <v>2380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 t="s">
        <v>2367</v>
      </c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7"/>
      <c r="AE15" t="b">
        <v>0</v>
      </c>
      <c r="AF15" t="b">
        <v>0</v>
      </c>
      <c r="AH15" s="364"/>
    </row>
    <row r="16" spans="1:34" x14ac:dyDescent="0.25">
      <c r="A16" s="412"/>
      <c r="B16" s="366" t="s">
        <v>2368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 t="s">
        <v>2369</v>
      </c>
      <c r="R16" s="366"/>
      <c r="S16" s="366"/>
      <c r="T16" s="562"/>
      <c r="U16" s="563"/>
      <c r="V16" s="563"/>
      <c r="W16" s="563"/>
      <c r="X16" s="563"/>
      <c r="Y16" s="563"/>
      <c r="Z16" s="563"/>
      <c r="AA16" s="563"/>
      <c r="AB16" s="563"/>
      <c r="AC16" s="563"/>
      <c r="AD16" s="564"/>
      <c r="AE16" t="b">
        <v>0</v>
      </c>
      <c r="AF16" t="b">
        <v>0</v>
      </c>
      <c r="AH16" s="364"/>
    </row>
    <row r="17" spans="1:47" x14ac:dyDescent="0.25">
      <c r="A17" s="586" t="s">
        <v>2537</v>
      </c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8"/>
      <c r="AH17" s="364"/>
    </row>
    <row r="18" spans="1:47" x14ac:dyDescent="0.25">
      <c r="A18" s="412"/>
      <c r="B18" s="368" t="s">
        <v>2371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9"/>
      <c r="Q18" s="366"/>
      <c r="R18" s="366"/>
      <c r="S18" s="366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1"/>
      <c r="AE18" t="b">
        <v>0</v>
      </c>
      <c r="AH18" s="364"/>
    </row>
    <row r="19" spans="1:47" x14ac:dyDescent="0.25">
      <c r="A19" s="412"/>
      <c r="B19" s="366" t="s">
        <v>2373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9"/>
      <c r="Q19" s="366"/>
      <c r="R19" s="366"/>
      <c r="S19" s="366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1"/>
      <c r="AE19" t="b">
        <v>0</v>
      </c>
      <c r="AH19" s="364"/>
    </row>
    <row r="20" spans="1:47" x14ac:dyDescent="0.25">
      <c r="A20" s="412"/>
      <c r="B20" s="366" t="s">
        <v>2374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9"/>
      <c r="Q20" s="366"/>
      <c r="R20" s="366"/>
      <c r="S20" s="366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1"/>
      <c r="AE20" t="b">
        <v>0</v>
      </c>
      <c r="AH20" s="364"/>
    </row>
    <row r="21" spans="1:47" x14ac:dyDescent="0.25">
      <c r="A21" s="412"/>
      <c r="B21" s="366" t="s">
        <v>2375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9"/>
      <c r="Q21" s="366"/>
      <c r="R21" s="366"/>
      <c r="S21" s="366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1"/>
      <c r="AE21" t="b">
        <v>0</v>
      </c>
      <c r="AH21" s="364"/>
    </row>
    <row r="22" spans="1:47" x14ac:dyDescent="0.25">
      <c r="A22" s="412"/>
      <c r="B22" s="366" t="s">
        <v>2376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9"/>
      <c r="Q22" s="366"/>
      <c r="R22" s="366"/>
      <c r="S22" s="366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1"/>
      <c r="AE22" t="b">
        <v>0</v>
      </c>
      <c r="AH22" s="364"/>
    </row>
    <row r="23" spans="1:47" x14ac:dyDescent="0.25">
      <c r="A23" s="412"/>
      <c r="B23" s="366" t="s">
        <v>2377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9"/>
      <c r="Q23" s="369" t="s">
        <v>2406</v>
      </c>
      <c r="R23" s="366"/>
      <c r="S23" s="366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/>
      <c r="AE23" t="b">
        <v>0</v>
      </c>
      <c r="AF23" t="b">
        <v>0</v>
      </c>
      <c r="AH23" s="364"/>
    </row>
    <row r="24" spans="1:47" x14ac:dyDescent="0.25">
      <c r="A24" s="589" t="s">
        <v>2575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1"/>
      <c r="AH24" s="364"/>
    </row>
    <row r="25" spans="1:47" ht="15" customHeight="1" x14ac:dyDescent="0.25">
      <c r="A25" s="592" t="str">
        <f>IF(AE25,"WERK TOEGELATEN MITS NALEVEN VAN ONDERSTAANDE AFSPRAKEN BOVENOP DE ALGEMEEN GELDENDE VEILIGHEIDSVOORSCHRIFTEN","WERK TOEGELATEN MITS NALEVEN VAN DE ALGEMEEN GELDENDE VEILIGHEIDSVOORSCHRIFTEN")</f>
        <v>WERK TOEGELATEN MITS NALEVEN VAN DE ALGEMEEN GELDENDE VEILIGHEIDSVOORSCHRIFTEN</v>
      </c>
      <c r="B25" s="593"/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4"/>
      <c r="AE25" t="b">
        <f>OR(AE11:AF23)</f>
        <v>0</v>
      </c>
      <c r="AH25" s="364"/>
    </row>
    <row r="26" spans="1:47" x14ac:dyDescent="0.25">
      <c r="A26" s="595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6"/>
      <c r="AA26" s="596"/>
      <c r="AB26" s="596"/>
      <c r="AC26" s="596"/>
      <c r="AD26" s="597"/>
      <c r="AH26" s="364"/>
    </row>
    <row r="27" spans="1:47" ht="15.75" x14ac:dyDescent="0.25">
      <c r="A27" s="431" t="s">
        <v>2386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60"/>
      <c r="AH27" s="364"/>
    </row>
    <row r="28" spans="1:47" x14ac:dyDescent="0.25">
      <c r="A28" s="424" t="str">
        <f>IF(AE28,"þ","o")</f>
        <v>o</v>
      </c>
      <c r="B28" s="359" t="s">
        <v>2389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430" t="str">
        <f>IF(AF28,"þ","o")</f>
        <v>o</v>
      </c>
      <c r="Q28" s="359" t="s">
        <v>2392</v>
      </c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60"/>
      <c r="AE28" t="b">
        <f>IF(OR(AE11:AF16),TRUE,FALSE)</f>
        <v>0</v>
      </c>
      <c r="AF28" t="b">
        <f>IF(OR(AE11,AG11),TRUE,FALSE)</f>
        <v>0</v>
      </c>
      <c r="AH28" s="364"/>
    </row>
    <row r="29" spans="1:47" x14ac:dyDescent="0.25">
      <c r="A29" s="424" t="str">
        <f t="shared" ref="A29:A34" si="0">IF(AE29,"þ","o")</f>
        <v>o</v>
      </c>
      <c r="B29" s="359" t="s">
        <v>2391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430" t="str">
        <f>IF(AF29,"þ","o")</f>
        <v>o</v>
      </c>
      <c r="Q29" s="359" t="s">
        <v>2393</v>
      </c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60"/>
      <c r="AE29" t="b">
        <f>IF(OR(AE11:AE14,AF11:AF16,AE16),TRUE,FALSE)</f>
        <v>0</v>
      </c>
      <c r="AF29" t="b">
        <f>IF(AE11,TRUE,FALSE)</f>
        <v>0</v>
      </c>
      <c r="AH29" s="364"/>
    </row>
    <row r="30" spans="1:47" x14ac:dyDescent="0.25">
      <c r="A30" s="425" t="str">
        <f t="shared" si="0"/>
        <v>o</v>
      </c>
      <c r="B30" s="359" t="s">
        <v>2390</v>
      </c>
      <c r="C30" s="359"/>
      <c r="D30" s="359"/>
      <c r="E30" s="359"/>
      <c r="F30" s="359"/>
      <c r="G30" s="359"/>
      <c r="H30" s="359"/>
      <c r="I30" s="359"/>
      <c r="J30" s="359"/>
      <c r="K30" s="359"/>
      <c r="L30" s="560" t="s">
        <v>2579</v>
      </c>
      <c r="M30" s="359"/>
      <c r="N30" s="359"/>
      <c r="O30" s="359"/>
      <c r="P30" s="430" t="str">
        <f>IF(AF30,"þ","o")</f>
        <v>o</v>
      </c>
      <c r="Q30" s="359" t="s">
        <v>2394</v>
      </c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60"/>
      <c r="AE30" t="b">
        <f>IF(OR(AE12,AF14,AE16),TRUE,FALSE)</f>
        <v>0</v>
      </c>
      <c r="AF30" t="b">
        <f>IF(AE11,TRUE,FALSE)</f>
        <v>0</v>
      </c>
      <c r="AH30" s="364"/>
    </row>
    <row r="31" spans="1:47" x14ac:dyDescent="0.25">
      <c r="A31" s="425" t="str">
        <f t="shared" si="0"/>
        <v>o</v>
      </c>
      <c r="B31" s="359" t="s">
        <v>2395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430"/>
      <c r="Q31" s="373" t="s">
        <v>2408</v>
      </c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60"/>
      <c r="AE31" t="b">
        <f>IF(AE13,TRUE,FALSE)</f>
        <v>0</v>
      </c>
      <c r="AH31" s="364"/>
      <c r="AS31" s="559" t="s">
        <v>2577</v>
      </c>
      <c r="AT31" s="157"/>
      <c r="AU31" s="157"/>
    </row>
    <row r="32" spans="1:47" x14ac:dyDescent="0.25">
      <c r="A32" s="425" t="str">
        <f t="shared" si="0"/>
        <v>o</v>
      </c>
      <c r="B32" s="359" t="s">
        <v>2525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430" t="str">
        <f>IF(AF32,"þ","o")</f>
        <v>o</v>
      </c>
      <c r="Q32" s="359" t="s">
        <v>2396</v>
      </c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60"/>
      <c r="AE32" t="b">
        <f>IF(AE16,TRUE,FALSE)</f>
        <v>0</v>
      </c>
      <c r="AF32" t="b">
        <f>IF(AE15,TRUE,FALSE)</f>
        <v>0</v>
      </c>
      <c r="AH32" s="364"/>
    </row>
    <row r="33" spans="1:47" x14ac:dyDescent="0.25">
      <c r="A33" s="425" t="str">
        <f t="shared" si="0"/>
        <v>o</v>
      </c>
      <c r="B33" s="359" t="s">
        <v>2404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429"/>
      <c r="Q33" s="568"/>
      <c r="R33" s="570"/>
      <c r="S33" s="568"/>
      <c r="T33" s="570"/>
      <c r="U33" s="568"/>
      <c r="V33" s="570"/>
      <c r="W33" s="568"/>
      <c r="X33" s="570"/>
      <c r="Y33" s="568"/>
      <c r="Z33" s="570"/>
      <c r="AA33" s="568"/>
      <c r="AB33" s="570"/>
      <c r="AC33" s="374" t="str">
        <f>IF('gevaarljike stoffen'!M5="not allowed","mag niet","mag")</f>
        <v>mag</v>
      </c>
      <c r="AD33" s="360"/>
      <c r="AE33" t="b">
        <f>IF(OR(AF12:AF15),TRUE,FALSE)</f>
        <v>0</v>
      </c>
      <c r="AH33" s="364"/>
      <c r="AQ33" t="s">
        <v>34</v>
      </c>
      <c r="AS33" s="559" t="s">
        <v>2578</v>
      </c>
      <c r="AT33" s="157"/>
      <c r="AU33" s="157"/>
    </row>
    <row r="34" spans="1:47" ht="15" customHeight="1" x14ac:dyDescent="0.25">
      <c r="A34" s="425" t="str">
        <f t="shared" si="0"/>
        <v>o</v>
      </c>
      <c r="B34" s="359" t="s">
        <v>2405</v>
      </c>
      <c r="C34" s="359"/>
      <c r="D34" s="359"/>
      <c r="E34" s="359"/>
      <c r="F34" s="359"/>
      <c r="G34" s="359"/>
      <c r="H34" s="359"/>
      <c r="I34" s="359"/>
      <c r="J34" s="359"/>
      <c r="K34" s="560" t="s">
        <v>2579</v>
      </c>
      <c r="L34" s="359"/>
      <c r="M34" s="359"/>
      <c r="N34" s="359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2"/>
      <c r="AE34" t="b">
        <f>IF(AF12,TRUE,FALSE)</f>
        <v>0</v>
      </c>
      <c r="AH34" s="364"/>
    </row>
    <row r="35" spans="1:47" ht="15" customHeight="1" x14ac:dyDescent="0.25">
      <c r="A35" s="431" t="s">
        <v>2387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2"/>
      <c r="AH35" s="364"/>
    </row>
    <row r="36" spans="1:47" x14ac:dyDescent="0.25">
      <c r="A36" s="426" t="str">
        <f>IF(AE36,"þ","o")</f>
        <v>o</v>
      </c>
      <c r="B36" s="359" t="s">
        <v>2397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2"/>
      <c r="AE36" t="b">
        <f>IF(OR(AE11:AG16),TRUE,FALSE)</f>
        <v>0</v>
      </c>
      <c r="AH36" s="364"/>
    </row>
    <row r="37" spans="1:47" x14ac:dyDescent="0.25">
      <c r="A37" s="358"/>
      <c r="B37" s="359" t="s">
        <v>2398</v>
      </c>
      <c r="C37" s="359"/>
      <c r="D37" s="359"/>
      <c r="E37" s="359"/>
      <c r="F37" s="359"/>
      <c r="G37" s="427" t="str">
        <f>IF(AE37,"þ","o")</f>
        <v>o</v>
      </c>
      <c r="H37" s="377" t="s">
        <v>2381</v>
      </c>
      <c r="I37" s="377"/>
      <c r="J37" s="427" t="str">
        <f>IF(AF37,"þ","o")</f>
        <v>o</v>
      </c>
      <c r="K37" s="378" t="s">
        <v>2382</v>
      </c>
      <c r="L37" s="359"/>
      <c r="M37" s="359"/>
      <c r="N37" s="427" t="str">
        <f>IF(AG37,"þ","o")</f>
        <v>o</v>
      </c>
      <c r="O37" s="377" t="s">
        <v>2383</v>
      </c>
      <c r="P37" s="359"/>
      <c r="Q37" s="359"/>
      <c r="R37" s="359"/>
      <c r="S37" s="427" t="str">
        <f>IF(AH37,"þ","o")</f>
        <v>o</v>
      </c>
      <c r="T37" s="377" t="s">
        <v>2384</v>
      </c>
      <c r="U37" s="359"/>
      <c r="V37" s="427" t="str">
        <f>IF(AI37,"þ","o")</f>
        <v>o</v>
      </c>
      <c r="W37" s="377" t="s">
        <v>2417</v>
      </c>
      <c r="X37" s="359"/>
      <c r="Y37" s="359"/>
      <c r="Z37" s="428" t="str">
        <f>IF(AJ37,"þ","o")</f>
        <v>o</v>
      </c>
      <c r="AA37" s="378" t="s">
        <v>2407</v>
      </c>
      <c r="AB37" s="359"/>
      <c r="AC37" s="359"/>
      <c r="AD37" s="363"/>
      <c r="AE37" t="b">
        <f>IF(OR(AE18:AE19),TRUE,FALSE)</f>
        <v>0</v>
      </c>
      <c r="AF37" t="b">
        <f>IF(OR(AE20),TRUE,FALSE)</f>
        <v>0</v>
      </c>
      <c r="AG37" t="b">
        <f>IF(OR(AE21),TRUE,FALSE)</f>
        <v>0</v>
      </c>
      <c r="AH37" s="364" t="b">
        <f>IF(OR(AE22),TRUE,FALSE)</f>
        <v>0</v>
      </c>
      <c r="AI37" t="b">
        <f>IF(OR(AE23),TRUE,FALSE)</f>
        <v>0</v>
      </c>
      <c r="AJ37" t="b">
        <f>IF(AF23,TRUE,FALSE)</f>
        <v>0</v>
      </c>
    </row>
    <row r="38" spans="1:47" x14ac:dyDescent="0.25">
      <c r="A38" s="576"/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8"/>
      <c r="AH38" s="364"/>
    </row>
    <row r="39" spans="1:47" x14ac:dyDescent="0.25">
      <c r="A39" s="579"/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1"/>
      <c r="AH39" s="364"/>
    </row>
    <row r="40" spans="1:47" x14ac:dyDescent="0.25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1"/>
      <c r="AH40" s="364"/>
    </row>
    <row r="41" spans="1:47" ht="5.25" customHeight="1" x14ac:dyDescent="0.25">
      <c r="A41" s="582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4"/>
      <c r="AH41" s="364"/>
    </row>
    <row r="42" spans="1:47" ht="15.75" x14ac:dyDescent="0.25">
      <c r="A42" s="431" t="s">
        <v>2388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60"/>
      <c r="AH42" s="364"/>
    </row>
    <row r="43" spans="1:47" x14ac:dyDescent="0.25">
      <c r="A43" s="358"/>
      <c r="B43" s="359" t="s">
        <v>2398</v>
      </c>
      <c r="C43" s="359"/>
      <c r="D43" s="359"/>
      <c r="E43" s="359"/>
      <c r="F43" s="359"/>
      <c r="G43" s="427" t="str">
        <f>IF(AE43,"þ","o")</f>
        <v>o</v>
      </c>
      <c r="H43" s="377" t="s">
        <v>2381</v>
      </c>
      <c r="I43" s="359"/>
      <c r="J43" s="427" t="str">
        <f>IF(AF43,"þ","o")</f>
        <v>o</v>
      </c>
      <c r="K43" s="377" t="s">
        <v>2382</v>
      </c>
      <c r="L43" s="359"/>
      <c r="M43" s="359"/>
      <c r="N43" s="427" t="str">
        <f>IF(AG43,"þ","o")</f>
        <v>o</v>
      </c>
      <c r="O43" s="377" t="s">
        <v>2383</v>
      </c>
      <c r="P43" s="359"/>
      <c r="Q43" s="359"/>
      <c r="R43" s="359"/>
      <c r="S43" s="427" t="str">
        <f>IF(AH43,"þ","o")</f>
        <v>o</v>
      </c>
      <c r="T43" s="377" t="s">
        <v>2384</v>
      </c>
      <c r="U43" s="359"/>
      <c r="V43" s="427" t="str">
        <f>IF(AI43,"þ","o")</f>
        <v>o</v>
      </c>
      <c r="W43" s="377" t="s">
        <v>2417</v>
      </c>
      <c r="X43" s="359"/>
      <c r="Y43" s="359"/>
      <c r="Z43" s="428" t="str">
        <f>IF(AJ43,"þ","o")</f>
        <v>o</v>
      </c>
      <c r="AA43" s="378" t="s">
        <v>2407</v>
      </c>
      <c r="AB43" s="359"/>
      <c r="AC43" s="359"/>
      <c r="AD43" s="363"/>
      <c r="AE43" t="b">
        <f t="shared" ref="AE43:AJ43" si="1">AE37</f>
        <v>0</v>
      </c>
      <c r="AF43" t="b">
        <f t="shared" si="1"/>
        <v>0</v>
      </c>
      <c r="AG43" t="b">
        <f t="shared" si="1"/>
        <v>0</v>
      </c>
      <c r="AH43" t="b">
        <f t="shared" si="1"/>
        <v>0</v>
      </c>
      <c r="AI43" t="b">
        <f t="shared" si="1"/>
        <v>0</v>
      </c>
      <c r="AJ43" t="b">
        <f t="shared" si="1"/>
        <v>0</v>
      </c>
    </row>
    <row r="44" spans="1:47" x14ac:dyDescent="0.25">
      <c r="A44" s="585"/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8"/>
      <c r="AH44" s="364"/>
    </row>
    <row r="45" spans="1:47" x14ac:dyDescent="0.25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1"/>
      <c r="AH45" s="364"/>
    </row>
    <row r="46" spans="1:47" x14ac:dyDescent="0.25">
      <c r="A46" s="579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1"/>
      <c r="AH46" s="364"/>
    </row>
    <row r="47" spans="1:47" ht="5.25" customHeight="1" x14ac:dyDescent="0.25">
      <c r="A47" s="582"/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  <c r="AB47" s="583"/>
      <c r="AC47" s="583"/>
      <c r="AD47" s="584"/>
      <c r="AH47" s="364"/>
    </row>
    <row r="48" spans="1:47" x14ac:dyDescent="0.25">
      <c r="A48" s="573" t="s">
        <v>2505</v>
      </c>
      <c r="B48" s="574"/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  <c r="AA48" s="574"/>
      <c r="AB48" s="574"/>
      <c r="AC48" s="574"/>
      <c r="AD48" s="575"/>
      <c r="AH48" s="364"/>
    </row>
    <row r="49" spans="1:73" x14ac:dyDescent="0.25">
      <c r="A49" s="372" t="s">
        <v>2467</v>
      </c>
      <c r="B49" s="359"/>
      <c r="C49" s="359"/>
      <c r="D49" s="359"/>
      <c r="E49" s="359"/>
      <c r="F49" s="372" t="s">
        <v>2399</v>
      </c>
      <c r="G49" s="359"/>
      <c r="H49" s="359"/>
      <c r="I49" s="359"/>
      <c r="J49" s="359"/>
      <c r="K49" s="359"/>
      <c r="L49" s="359"/>
      <c r="M49" s="359"/>
      <c r="N49" s="359" t="s">
        <v>2400</v>
      </c>
      <c r="O49" s="359"/>
      <c r="P49" s="359"/>
      <c r="Q49" s="359"/>
      <c r="R49" s="359"/>
      <c r="S49" s="359" t="s">
        <v>2401</v>
      </c>
      <c r="T49" s="359"/>
      <c r="U49" s="359"/>
      <c r="V49" s="359"/>
      <c r="W49" s="359"/>
      <c r="X49" s="359" t="s">
        <v>2402</v>
      </c>
      <c r="Y49" s="359"/>
      <c r="Z49" s="359"/>
      <c r="AA49" s="359"/>
      <c r="AB49" s="359"/>
      <c r="AC49" s="359" t="s">
        <v>2403</v>
      </c>
      <c r="AD49" s="360"/>
      <c r="AH49" s="364"/>
    </row>
    <row r="50" spans="1:73" x14ac:dyDescent="0.25">
      <c r="A50" s="562"/>
      <c r="B50" s="563"/>
      <c r="C50" s="563"/>
      <c r="D50" s="563"/>
      <c r="E50" s="564"/>
      <c r="F50" s="358" t="s">
        <v>2466</v>
      </c>
      <c r="G50" s="359"/>
      <c r="H50" s="359"/>
      <c r="I50" s="359"/>
      <c r="J50" s="359"/>
      <c r="K50" s="568"/>
      <c r="L50" s="569"/>
      <c r="M50" s="569"/>
      <c r="N50" s="569"/>
      <c r="O50" s="570"/>
      <c r="P50" s="568"/>
      <c r="Q50" s="569"/>
      <c r="R50" s="569"/>
      <c r="S50" s="569"/>
      <c r="T50" s="570"/>
      <c r="U50" s="568"/>
      <c r="V50" s="569"/>
      <c r="W50" s="569"/>
      <c r="X50" s="569"/>
      <c r="Y50" s="570"/>
      <c r="Z50" s="568"/>
      <c r="AA50" s="569"/>
      <c r="AB50" s="569"/>
      <c r="AC50" s="569"/>
      <c r="AD50" s="570"/>
      <c r="AH50" s="364"/>
    </row>
    <row r="51" spans="1:73" ht="21" customHeight="1" x14ac:dyDescent="0.25">
      <c r="A51" s="565"/>
      <c r="B51" s="566"/>
      <c r="C51" s="566"/>
      <c r="D51" s="566"/>
      <c r="E51" s="567"/>
      <c r="F51" s="361" t="s">
        <v>2468</v>
      </c>
      <c r="G51" s="362"/>
      <c r="H51" s="362"/>
      <c r="I51" s="362"/>
      <c r="J51" s="362"/>
      <c r="K51" s="565"/>
      <c r="L51" s="566"/>
      <c r="M51" s="566"/>
      <c r="N51" s="566"/>
      <c r="O51" s="567"/>
      <c r="P51" s="565"/>
      <c r="Q51" s="566"/>
      <c r="R51" s="566"/>
      <c r="S51" s="566"/>
      <c r="T51" s="567"/>
      <c r="U51" s="565"/>
      <c r="V51" s="566"/>
      <c r="W51" s="566"/>
      <c r="X51" s="566"/>
      <c r="Y51" s="567"/>
      <c r="Z51" s="565"/>
      <c r="AA51" s="566"/>
      <c r="AB51" s="566"/>
      <c r="AC51" s="566"/>
      <c r="AD51" s="567"/>
      <c r="AH51" s="364"/>
    </row>
    <row r="52" spans="1:73" x14ac:dyDescent="0.25">
      <c r="AH52" s="364"/>
    </row>
    <row r="53" spans="1:73" x14ac:dyDescent="0.25">
      <c r="AH53" s="364"/>
    </row>
    <row r="54" spans="1:73" x14ac:dyDescent="0.25">
      <c r="AH54" s="364"/>
    </row>
    <row r="55" spans="1:73" x14ac:dyDescent="0.25">
      <c r="AH55" s="364"/>
    </row>
    <row r="56" spans="1:73" x14ac:dyDescent="0.25">
      <c r="AH56" s="364"/>
    </row>
    <row r="57" spans="1:73" x14ac:dyDescent="0.25">
      <c r="AH57" s="364"/>
    </row>
    <row r="58" spans="1:73" x14ac:dyDescent="0.25">
      <c r="AH58" s="364"/>
    </row>
    <row r="59" spans="1:73" x14ac:dyDescent="0.25">
      <c r="AH59" s="364"/>
    </row>
    <row r="60" spans="1:73" x14ac:dyDescent="0.25">
      <c r="AH60" s="364"/>
    </row>
    <row r="61" spans="1:73" x14ac:dyDescent="0.25">
      <c r="AH61" s="364"/>
    </row>
    <row r="62" spans="1:73" x14ac:dyDescent="0.25">
      <c r="AH62" s="364"/>
    </row>
    <row r="63" spans="1:73" x14ac:dyDescent="0.25">
      <c r="AH63" s="364"/>
    </row>
    <row r="64" spans="1:73" x14ac:dyDescent="0.25">
      <c r="AH64" s="364"/>
      <c r="AP64" s="561" t="str">
        <f>'gevaarljike stoffen'!C17&amp;"; "&amp;'gevaarljike stoffen'!C18&amp;"; "&amp;'gevaarljike stoffen'!C19&amp;"; "&amp;'gevaarljike stoffen'!C20&amp;"; "&amp;'gevaarljike stoffen'!C21&amp;"; "&amp;'gevaarljike stoffen'!C22&amp;"; "&amp;'gevaarljike stoffen'!C23&amp;"; "&amp;'gevaarljike stoffen'!C24&amp;"; "&amp;'gevaarljike stoffen'!C25</f>
        <v xml:space="preserve">; ; ; ; ; ; ; ; </v>
      </c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61"/>
      <c r="BS64" s="561"/>
      <c r="BT64" s="561"/>
      <c r="BU64" s="561"/>
    </row>
    <row r="65" spans="34:73" x14ac:dyDescent="0.25">
      <c r="AH65" s="364"/>
      <c r="AP65" s="561"/>
      <c r="AQ65" s="561"/>
      <c r="AR65" s="561"/>
      <c r="AS65" s="561"/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561"/>
      <c r="BG65" s="561"/>
      <c r="BH65" s="561"/>
      <c r="BI65" s="561"/>
      <c r="BJ65" s="561"/>
      <c r="BK65" s="561"/>
      <c r="BL65" s="561"/>
      <c r="BM65" s="561"/>
      <c r="BN65" s="561"/>
      <c r="BO65" s="561"/>
      <c r="BP65" s="561"/>
      <c r="BQ65" s="561"/>
      <c r="BR65" s="561"/>
      <c r="BS65" s="561"/>
      <c r="BT65" s="561"/>
      <c r="BU65" s="561"/>
    </row>
    <row r="66" spans="34:73" x14ac:dyDescent="0.25">
      <c r="AH66" s="364"/>
      <c r="AP66" s="561"/>
      <c r="AQ66" s="561"/>
      <c r="AR66" s="561"/>
      <c r="AS66" s="561"/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1"/>
      <c r="BF66" s="561"/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61"/>
      <c r="BS66" s="561"/>
      <c r="BT66" s="561"/>
      <c r="BU66" s="561"/>
    </row>
    <row r="67" spans="34:73" x14ac:dyDescent="0.25">
      <c r="AH67" s="364"/>
      <c r="AP67" s="561"/>
      <c r="AQ67" s="561"/>
      <c r="AR67" s="561"/>
      <c r="AS67" s="561"/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1"/>
      <c r="BE67" s="561"/>
      <c r="BF67" s="561"/>
      <c r="BG67" s="561"/>
      <c r="BH67" s="561"/>
      <c r="BI67" s="561"/>
      <c r="BJ67" s="561"/>
      <c r="BK67" s="561"/>
      <c r="BL67" s="561"/>
      <c r="BM67" s="561"/>
      <c r="BN67" s="561"/>
      <c r="BO67" s="561"/>
      <c r="BP67" s="561"/>
      <c r="BQ67" s="561"/>
      <c r="BR67" s="561"/>
      <c r="BS67" s="561"/>
      <c r="BT67" s="561"/>
      <c r="BU67" s="561"/>
    </row>
    <row r="68" spans="34:73" x14ac:dyDescent="0.25">
      <c r="AH68" s="364"/>
      <c r="AP68" s="561"/>
      <c r="AQ68" s="561"/>
      <c r="AR68" s="561"/>
      <c r="AS68" s="561"/>
      <c r="AT68" s="561"/>
      <c r="AU68" s="561"/>
      <c r="AV68" s="561"/>
      <c r="AW68" s="561"/>
      <c r="AX68" s="561"/>
      <c r="AY68" s="561"/>
      <c r="AZ68" s="561"/>
      <c r="BA68" s="561"/>
      <c r="BB68" s="561"/>
      <c r="BC68" s="561"/>
      <c r="BD68" s="561"/>
      <c r="BE68" s="561"/>
      <c r="BF68" s="561"/>
      <c r="BG68" s="561"/>
      <c r="BH68" s="561"/>
      <c r="BI68" s="561"/>
      <c r="BJ68" s="561"/>
      <c r="BK68" s="561"/>
      <c r="BL68" s="561"/>
      <c r="BM68" s="561"/>
      <c r="BN68" s="561"/>
      <c r="BO68" s="561"/>
      <c r="BP68" s="561"/>
      <c r="BQ68" s="561"/>
      <c r="BR68" s="561"/>
      <c r="BS68" s="561"/>
      <c r="BT68" s="561"/>
      <c r="BU68" s="561"/>
    </row>
    <row r="69" spans="34:73" ht="37.5" customHeight="1" x14ac:dyDescent="0.25">
      <c r="AH69" s="364"/>
      <c r="AP69" s="561"/>
      <c r="AQ69" s="561"/>
      <c r="AR69" s="561"/>
      <c r="AS69" s="561"/>
      <c r="AT69" s="561"/>
      <c r="AU69" s="561"/>
      <c r="AV69" s="561"/>
      <c r="AW69" s="561"/>
      <c r="AX69" s="561"/>
      <c r="AY69" s="561"/>
      <c r="AZ69" s="561"/>
      <c r="BA69" s="561"/>
      <c r="BB69" s="561"/>
      <c r="BC69" s="561"/>
      <c r="BD69" s="561"/>
      <c r="BE69" s="561"/>
      <c r="BF69" s="561"/>
      <c r="BG69" s="561"/>
      <c r="BH69" s="561"/>
      <c r="BI69" s="561"/>
      <c r="BJ69" s="561"/>
      <c r="BK69" s="561"/>
      <c r="BL69" s="561"/>
      <c r="BM69" s="561"/>
      <c r="BN69" s="561"/>
      <c r="BO69" s="561"/>
      <c r="BP69" s="561"/>
      <c r="BQ69" s="561"/>
      <c r="BR69" s="561"/>
      <c r="BS69" s="561"/>
      <c r="BT69" s="561"/>
      <c r="BU69" s="561"/>
    </row>
    <row r="70" spans="34:73" x14ac:dyDescent="0.25">
      <c r="AH70" s="364"/>
    </row>
    <row r="71" spans="34:73" x14ac:dyDescent="0.25">
      <c r="AH71" s="364"/>
    </row>
    <row r="72" spans="34:73" x14ac:dyDescent="0.25">
      <c r="AH72" s="364"/>
    </row>
    <row r="73" spans="34:73" x14ac:dyDescent="0.25">
      <c r="AH73" s="364"/>
    </row>
    <row r="74" spans="34:73" x14ac:dyDescent="0.25">
      <c r="AH74" s="364"/>
    </row>
    <row r="75" spans="34:73" x14ac:dyDescent="0.25">
      <c r="AH75" s="364"/>
    </row>
    <row r="76" spans="34:73" x14ac:dyDescent="0.25">
      <c r="AH76" s="364"/>
    </row>
    <row r="77" spans="34:73" x14ac:dyDescent="0.25">
      <c r="AH77" s="364"/>
    </row>
    <row r="78" spans="34:73" x14ac:dyDescent="0.25">
      <c r="AH78" s="364"/>
    </row>
    <row r="79" spans="34:73" x14ac:dyDescent="0.25">
      <c r="AH79" s="364"/>
    </row>
    <row r="80" spans="34:73" x14ac:dyDescent="0.25">
      <c r="AH80" s="364"/>
    </row>
    <row r="81" spans="34:34" x14ac:dyDescent="0.25">
      <c r="AH81" s="364"/>
    </row>
    <row r="82" spans="34:34" x14ac:dyDescent="0.25">
      <c r="AH82" s="364"/>
    </row>
    <row r="83" spans="34:34" x14ac:dyDescent="0.25">
      <c r="AH83" s="364"/>
    </row>
    <row r="84" spans="34:34" x14ac:dyDescent="0.25">
      <c r="AH84" s="365"/>
    </row>
    <row r="85" spans="34:34" x14ac:dyDescent="0.25">
      <c r="AH85" s="364"/>
    </row>
    <row r="86" spans="34:34" x14ac:dyDescent="0.25">
      <c r="AH86" s="364"/>
    </row>
    <row r="87" spans="34:34" x14ac:dyDescent="0.25">
      <c r="AH87" s="364"/>
    </row>
    <row r="88" spans="34:34" x14ac:dyDescent="0.25">
      <c r="AH88" s="364"/>
    </row>
    <row r="89" spans="34:34" x14ac:dyDescent="0.25">
      <c r="AH89" s="364"/>
    </row>
    <row r="90" spans="34:34" x14ac:dyDescent="0.25">
      <c r="AH90" s="364"/>
    </row>
    <row r="91" spans="34:34" x14ac:dyDescent="0.25">
      <c r="AH91" s="365"/>
    </row>
  </sheetData>
  <sheetProtection selectLockedCells="1"/>
  <mergeCells count="46">
    <mergeCell ref="A1:AD1"/>
    <mergeCell ref="G5:AD5"/>
    <mergeCell ref="G6:AD6"/>
    <mergeCell ref="A2:AD2"/>
    <mergeCell ref="D3:AD3"/>
    <mergeCell ref="G4:AD4"/>
    <mergeCell ref="A3:C3"/>
    <mergeCell ref="A4:F4"/>
    <mergeCell ref="N9:AD9"/>
    <mergeCell ref="A7:J7"/>
    <mergeCell ref="K7:AD7"/>
    <mergeCell ref="F9:I9"/>
    <mergeCell ref="A10:AD10"/>
    <mergeCell ref="L9:M9"/>
    <mergeCell ref="A9:E9"/>
    <mergeCell ref="J8:K8"/>
    <mergeCell ref="J9:K9"/>
    <mergeCell ref="F8:I8"/>
    <mergeCell ref="L8:M8"/>
    <mergeCell ref="N8:AD8"/>
    <mergeCell ref="A8:E8"/>
    <mergeCell ref="O34:AD36"/>
    <mergeCell ref="A48:AD48"/>
    <mergeCell ref="T16:AD16"/>
    <mergeCell ref="A38:AD41"/>
    <mergeCell ref="A44:AD47"/>
    <mergeCell ref="A17:AD17"/>
    <mergeCell ref="A24:AD24"/>
    <mergeCell ref="Q33:R33"/>
    <mergeCell ref="S33:T33"/>
    <mergeCell ref="U33:V33"/>
    <mergeCell ref="W33:X33"/>
    <mergeCell ref="Y33:Z33"/>
    <mergeCell ref="AA33:AB33"/>
    <mergeCell ref="A25:AD26"/>
    <mergeCell ref="AP64:BU69"/>
    <mergeCell ref="A50:E50"/>
    <mergeCell ref="A51:E51"/>
    <mergeCell ref="U50:Y50"/>
    <mergeCell ref="U51:Y51"/>
    <mergeCell ref="Z50:AD50"/>
    <mergeCell ref="Z51:AD51"/>
    <mergeCell ref="K50:O50"/>
    <mergeCell ref="K51:O51"/>
    <mergeCell ref="P50:T50"/>
    <mergeCell ref="P51:T51"/>
  </mergeCells>
  <conditionalFormatting sqref="A25">
    <cfRule type="expression" dxfId="39" priority="7">
      <formula>$AE$25=FALSE</formula>
    </cfRule>
    <cfRule type="expression" dxfId="38" priority="8">
      <formula>$AE$25=TRUE</formula>
    </cfRule>
  </conditionalFormatting>
  <conditionalFormatting sqref="AC33">
    <cfRule type="cellIs" dxfId="37" priority="5" operator="equal">
      <formula>"mag"</formula>
    </cfRule>
    <cfRule type="cellIs" dxfId="36" priority="6" operator="equal">
      <formula>"mag niet"</formula>
    </cfRule>
  </conditionalFormatting>
  <conditionalFormatting sqref="A28:A36">
    <cfRule type="expression" dxfId="35" priority="4">
      <formula>$A28="þ"</formula>
    </cfRule>
  </conditionalFormatting>
  <conditionalFormatting sqref="P28:P33">
    <cfRule type="expression" dxfId="34" priority="3">
      <formula>$P28="þ"</formula>
    </cfRule>
  </conditionalFormatting>
  <conditionalFormatting sqref="G37:Z37">
    <cfRule type="expression" dxfId="33" priority="2">
      <formula>G$37="þ"</formula>
    </cfRule>
  </conditionalFormatting>
  <conditionalFormatting sqref="G43:AD43">
    <cfRule type="expression" dxfId="32" priority="1">
      <formula>G$43="þ"</formula>
    </cfRule>
  </conditionalFormatting>
  <hyperlinks>
    <hyperlink ref="L30" location="'formulier elektriciteit'!A1" display="link"/>
    <hyperlink ref="K34" location="'formulier hoogte'!A1" display="link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180975</xdr:rowOff>
                  </from>
                  <to>
                    <xdr:col>1</xdr:col>
                    <xdr:colOff>114300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114300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171450</xdr:rowOff>
                  </from>
                  <to>
                    <xdr:col>1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8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9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0" name="Check Box 12">
              <controlPr defaultSize="0" autoFill="0" autoLine="0" autoPict="0">
                <anchor moveWithCells="1">
                  <from>
                    <xdr:col>14</xdr:col>
                    <xdr:colOff>171450</xdr:colOff>
                    <xdr:row>11</xdr:row>
                    <xdr:rowOff>171450</xdr:rowOff>
                  </from>
                  <to>
                    <xdr:col>16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1" name="Check Box 13">
              <controlPr defaultSize="0" autoFill="0" autoLine="0" autoPict="0">
                <anchor moveWithCells="1">
                  <from>
                    <xdr:col>14</xdr:col>
                    <xdr:colOff>171450</xdr:colOff>
                    <xdr:row>10</xdr:row>
                    <xdr:rowOff>171450</xdr:rowOff>
                  </from>
                  <to>
                    <xdr:col>16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2" name="Check Box 15">
              <controlPr defaultSize="0" autoFill="0" autoLine="0" autoPict="0">
                <anchor moveWithCells="1">
                  <from>
                    <xdr:col>14</xdr:col>
                    <xdr:colOff>171450</xdr:colOff>
                    <xdr:row>13</xdr:row>
                    <xdr:rowOff>180975</xdr:rowOff>
                  </from>
                  <to>
                    <xdr:col>16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3" name="Check Box 18">
              <controlPr defaultSize="0" autoFill="0" autoLine="0" autoPict="0">
                <anchor moveWithCells="1">
                  <from>
                    <xdr:col>14</xdr:col>
                    <xdr:colOff>171450</xdr:colOff>
                    <xdr:row>9</xdr:row>
                    <xdr:rowOff>180975</xdr:rowOff>
                  </from>
                  <to>
                    <xdr:col>16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14" name="Check Box 20">
              <controlPr defaultSize="0" autoFill="0" autoLine="0" autoPict="0">
                <anchor moveWithCells="1">
                  <from>
                    <xdr:col>14</xdr:col>
                    <xdr:colOff>171450</xdr:colOff>
                    <xdr:row>12</xdr:row>
                    <xdr:rowOff>171450</xdr:rowOff>
                  </from>
                  <to>
                    <xdr:col>16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15" name="Check Box 21">
              <controlPr defaultSize="0" autoFill="0" autoLine="0" autoPict="0">
                <anchor moveWithCells="1">
                  <from>
                    <xdr:col>14</xdr:col>
                    <xdr:colOff>171450</xdr:colOff>
                    <xdr:row>14</xdr:row>
                    <xdr:rowOff>180975</xdr:rowOff>
                  </from>
                  <to>
                    <xdr:col>16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16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0</xdr:rowOff>
                  </from>
                  <to>
                    <xdr:col>1</xdr:col>
                    <xdr:colOff>123825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17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0</xdr:rowOff>
                  </from>
                  <to>
                    <xdr:col>1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18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0</xdr:rowOff>
                  </from>
                  <to>
                    <xdr:col>1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19" name="Check Box 28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0</xdr:rowOff>
                  </from>
                  <to>
                    <xdr:col>1</xdr:col>
                    <xdr:colOff>123825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20" name="Check Box 29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0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21" name="Check Box 3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0</xdr:rowOff>
                  </from>
                  <to>
                    <xdr:col>1</xdr:col>
                    <xdr:colOff>123825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5" r:id="rId22" name="Check Box 111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161925</xdr:rowOff>
                  </from>
                  <to>
                    <xdr:col>16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 phrases'!$B$2:$B$98</xm:f>
          </x14:formula1>
          <xm:sqref>Q33:AB33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AB83"/>
  <sheetViews>
    <sheetView topLeftCell="A16" zoomScaleNormal="100" workbookViewId="0">
      <selection activeCell="L18" sqref="L18"/>
    </sheetView>
  </sheetViews>
  <sheetFormatPr defaultRowHeight="15" x14ac:dyDescent="0.25"/>
  <cols>
    <col min="1" max="1" width="10.7109375" bestFit="1" customWidth="1"/>
    <col min="2" max="2" width="18.140625" bestFit="1" customWidth="1"/>
    <col min="3" max="3" width="9.5703125" bestFit="1" customWidth="1"/>
    <col min="4" max="7" width="6.5703125" customWidth="1"/>
    <col min="8" max="8" width="10.140625" bestFit="1" customWidth="1"/>
    <col min="9" max="20" width="6.5703125" customWidth="1"/>
  </cols>
  <sheetData>
    <row r="1" spans="1:18" x14ac:dyDescent="0.25">
      <c r="A1" s="636" t="s">
        <v>575</v>
      </c>
      <c r="B1" s="636"/>
      <c r="C1" s="42" t="s">
        <v>743</v>
      </c>
      <c r="D1" s="42" t="s">
        <v>744</v>
      </c>
      <c r="E1" s="42" t="s">
        <v>751</v>
      </c>
      <c r="F1" s="42" t="s">
        <v>752</v>
      </c>
      <c r="G1" s="42" t="s">
        <v>753</v>
      </c>
      <c r="H1" s="42" t="s">
        <v>754</v>
      </c>
      <c r="I1" s="42" t="s">
        <v>755</v>
      </c>
      <c r="J1" s="42" t="s">
        <v>764</v>
      </c>
      <c r="K1" s="42" t="s">
        <v>763</v>
      </c>
      <c r="L1" s="147" t="s">
        <v>803</v>
      </c>
      <c r="M1" s="2"/>
      <c r="N1" s="2"/>
    </row>
    <row r="2" spans="1:18" x14ac:dyDescent="0.25">
      <c r="A2" s="637">
        <f>'gevaarljike stoffen'!B4</f>
        <v>0</v>
      </c>
      <c r="B2" s="637"/>
      <c r="C2" s="49">
        <f>IF('gevaarljike stoffen'!$B4=0,0,VLOOKUP('gevaarljike stoffen'!$B4,Scheme!$E$3:$AZ$128,36,FALSE))</f>
        <v>0</v>
      </c>
      <c r="D2" s="49">
        <f>IF('gevaarljike stoffen'!$B4=0,0,VLOOKUP('gevaarljike stoffen'!$B4,Scheme!$E$3:$AZ$128,37,FALSE))</f>
        <v>0</v>
      </c>
      <c r="E2" s="49">
        <f>IF('gevaarljike stoffen'!$B4=0,0,VLOOKUP('gevaarljike stoffen'!$B4,Scheme!$E$3:$AZ$128,38,FALSE))</f>
        <v>0</v>
      </c>
      <c r="F2" s="49">
        <f>IF('gevaarljike stoffen'!$B4=0,0,VLOOKUP('gevaarljike stoffen'!$B4,Scheme!$E$3:$AZ$128,39,FALSE))</f>
        <v>0</v>
      </c>
      <c r="G2" s="49">
        <f>IF('gevaarljike stoffen'!$B4=0,0,VLOOKUP('gevaarljike stoffen'!$B4,Scheme!$E$3:$AZ$128,40,FALSE))</f>
        <v>0</v>
      </c>
      <c r="H2" s="49">
        <f>IF('gevaarljike stoffen'!$B4=0,0,VLOOKUP('gevaarljike stoffen'!$B4,Scheme!$E$3:$AZ$128,41,FALSE))</f>
        <v>0</v>
      </c>
      <c r="I2" s="49">
        <f>IF('gevaarljike stoffen'!$B4=0,0,VLOOKUP('gevaarljike stoffen'!$B4,Scheme!$E$3:$AZ$128,42,FALSE))</f>
        <v>0</v>
      </c>
      <c r="J2" s="49">
        <f>IF('gevaarljike stoffen'!$B4=0,0,VLOOKUP('gevaarljike stoffen'!$B4,Scheme!$E$3:$AZ$128,43,FALSE))</f>
        <v>0</v>
      </c>
      <c r="K2" s="49">
        <f>IF('gevaarljike stoffen'!$B4=0,0,VLOOKUP('gevaarljike stoffen'!$B4,Scheme!$E$3:$AZ$128,44,FALSE))</f>
        <v>0</v>
      </c>
    </row>
    <row r="3" spans="1:18" x14ac:dyDescent="0.25">
      <c r="A3" s="637">
        <f>'gevaarljike stoffen'!B5</f>
        <v>0</v>
      </c>
      <c r="B3" s="637"/>
      <c r="C3" s="49">
        <f>IF('gevaarljike stoffen'!$B5=0,0,VLOOKUP('gevaarljike stoffen'!$B5,Scheme!$E$3:$AZ$128,36,FALSE))</f>
        <v>0</v>
      </c>
      <c r="D3" s="49">
        <f>IF('gevaarljike stoffen'!$B5=0,0,VLOOKUP('gevaarljike stoffen'!$B5,Scheme!$E$3:$AZ$128,37,FALSE))</f>
        <v>0</v>
      </c>
      <c r="E3" s="49">
        <f>IF('gevaarljike stoffen'!$B5=0,0,VLOOKUP('gevaarljike stoffen'!$B5,Scheme!$E$3:$AZ$128,38,FALSE))</f>
        <v>0</v>
      </c>
      <c r="F3" s="49">
        <f>IF('gevaarljike stoffen'!$B5=0,0,VLOOKUP('gevaarljike stoffen'!$B5,Scheme!$E$3:$AZ$128,39,FALSE))</f>
        <v>0</v>
      </c>
      <c r="G3" s="49">
        <f>IF('gevaarljike stoffen'!$B5=0,0,VLOOKUP('gevaarljike stoffen'!$B5,Scheme!$E$3:$AZ$128,40,FALSE))</f>
        <v>0</v>
      </c>
      <c r="H3" s="49">
        <f>IF('gevaarljike stoffen'!$B5=0,0,VLOOKUP('gevaarljike stoffen'!$B5,Scheme!$E$3:$AZ$128,41,FALSE))</f>
        <v>0</v>
      </c>
      <c r="I3" s="49">
        <f>IF('gevaarljike stoffen'!$B5=0,0,VLOOKUP('gevaarljike stoffen'!$B5,Scheme!$E$3:$AZ$128,42,FALSE))</f>
        <v>0</v>
      </c>
      <c r="J3" s="49">
        <f>IF('gevaarljike stoffen'!$B5=0,0,VLOOKUP('gevaarljike stoffen'!$B5,Scheme!$E$3:$AZ$128,43,FALSE))</f>
        <v>0</v>
      </c>
      <c r="K3" s="49">
        <f>IF('gevaarljike stoffen'!$B5=0,0,VLOOKUP('gevaarljike stoffen'!$B5,Scheme!$E$3:$AZ$128,44,FALSE))</f>
        <v>0</v>
      </c>
    </row>
    <row r="4" spans="1:18" x14ac:dyDescent="0.25">
      <c r="A4" s="637">
        <f>'gevaarljike stoffen'!B6</f>
        <v>0</v>
      </c>
      <c r="B4" s="637"/>
      <c r="C4" s="49">
        <f>IF('gevaarljike stoffen'!$B6=0,0,VLOOKUP('gevaarljike stoffen'!$B6,Scheme!$E$3:$AZ$128,36,FALSE))</f>
        <v>0</v>
      </c>
      <c r="D4" s="49">
        <f>IF('gevaarljike stoffen'!$B6=0,0,VLOOKUP('gevaarljike stoffen'!$B6,Scheme!$E$3:$AZ$128,37,FALSE))</f>
        <v>0</v>
      </c>
      <c r="E4" s="49">
        <f>IF('gevaarljike stoffen'!$B6=0,0,VLOOKUP('gevaarljike stoffen'!$B6,Scheme!$E$3:$AZ$128,38,FALSE))</f>
        <v>0</v>
      </c>
      <c r="F4" s="49">
        <f>IF('gevaarljike stoffen'!$B6=0,0,VLOOKUP('gevaarljike stoffen'!$B6,Scheme!$E$3:$AZ$128,39,FALSE))</f>
        <v>0</v>
      </c>
      <c r="G4" s="49">
        <f>IF('gevaarljike stoffen'!$B6=0,0,VLOOKUP('gevaarljike stoffen'!$B6,Scheme!$E$3:$AZ$128,40,FALSE))</f>
        <v>0</v>
      </c>
      <c r="H4" s="49">
        <f>IF('gevaarljike stoffen'!$B6=0,0,VLOOKUP('gevaarljike stoffen'!$B6,Scheme!$E$3:$AZ$128,41,FALSE))</f>
        <v>0</v>
      </c>
      <c r="I4" s="49">
        <f>IF('gevaarljike stoffen'!$B6=0,0,VLOOKUP('gevaarljike stoffen'!$B6,Scheme!$E$3:$AZ$128,42,FALSE))</f>
        <v>0</v>
      </c>
      <c r="J4" s="49">
        <f>IF('gevaarljike stoffen'!$B6=0,0,VLOOKUP('gevaarljike stoffen'!$B6,Scheme!$E$3:$AZ$128,43,FALSE))</f>
        <v>0</v>
      </c>
      <c r="K4" s="49">
        <f>IF('gevaarljike stoffen'!$B6=0,0,VLOOKUP('gevaarljike stoffen'!$B6,Scheme!$E$3:$AZ$128,44,FALSE))</f>
        <v>0</v>
      </c>
    </row>
    <row r="5" spans="1:18" x14ac:dyDescent="0.25">
      <c r="A5" s="637">
        <f>'gevaarljike stoffen'!B7</f>
        <v>0</v>
      </c>
      <c r="B5" s="637"/>
      <c r="C5" s="49">
        <f>IF('gevaarljike stoffen'!$B7=0,0,VLOOKUP('gevaarljike stoffen'!$B7,Scheme!$E$3:$AZ$128,36,FALSE))</f>
        <v>0</v>
      </c>
      <c r="D5" s="49">
        <f>IF('gevaarljike stoffen'!$B7=0,0,VLOOKUP('gevaarljike stoffen'!$B7,Scheme!$E$3:$AZ$128,37,FALSE))</f>
        <v>0</v>
      </c>
      <c r="E5" s="49">
        <f>IF('gevaarljike stoffen'!$B7=0,0,VLOOKUP('gevaarljike stoffen'!$B7,Scheme!$E$3:$AZ$128,38,FALSE))</f>
        <v>0</v>
      </c>
      <c r="F5" s="49">
        <f>IF('gevaarljike stoffen'!$B7=0,0,VLOOKUP('gevaarljike stoffen'!$B7,Scheme!$E$3:$AZ$128,39,FALSE))</f>
        <v>0</v>
      </c>
      <c r="G5" s="49">
        <f>IF('gevaarljike stoffen'!$B7=0,0,VLOOKUP('gevaarljike stoffen'!$B7,Scheme!$E$3:$AZ$128,40,FALSE))</f>
        <v>0</v>
      </c>
      <c r="H5" s="49">
        <f>IF('gevaarljike stoffen'!$B7=0,0,VLOOKUP('gevaarljike stoffen'!$B7,Scheme!$E$3:$AZ$128,41,FALSE))</f>
        <v>0</v>
      </c>
      <c r="I5" s="49">
        <f>IF('gevaarljike stoffen'!$B7=0,0,VLOOKUP('gevaarljike stoffen'!$B7,Scheme!$E$3:$AZ$128,42,FALSE))</f>
        <v>0</v>
      </c>
      <c r="J5" s="49">
        <f>IF('gevaarljike stoffen'!$B7=0,0,VLOOKUP('gevaarljike stoffen'!$B7,Scheme!$E$3:$AZ$128,43,FALSE))</f>
        <v>0</v>
      </c>
      <c r="K5" s="49">
        <f>IF('gevaarljike stoffen'!$B7=0,0,VLOOKUP('gevaarljike stoffen'!$B7,Scheme!$E$3:$AZ$128,44,FALSE))</f>
        <v>0</v>
      </c>
    </row>
    <row r="6" spans="1:18" x14ac:dyDescent="0.25">
      <c r="A6" s="637">
        <f>'gevaarljike stoffen'!B8</f>
        <v>0</v>
      </c>
      <c r="B6" s="637"/>
      <c r="C6" s="49">
        <f>IF('gevaarljike stoffen'!$B8=0,0,VLOOKUP('gevaarljike stoffen'!$B8,Scheme!$E$3:$AZ$128,36,FALSE))</f>
        <v>0</v>
      </c>
      <c r="D6" s="49">
        <f>IF('gevaarljike stoffen'!$B8=0,0,VLOOKUP('gevaarljike stoffen'!$B8,Scheme!$E$3:$AZ$128,37,FALSE))</f>
        <v>0</v>
      </c>
      <c r="E6" s="49">
        <f>IF('gevaarljike stoffen'!$B8=0,0,VLOOKUP('gevaarljike stoffen'!$B8,Scheme!$E$3:$AZ$128,38,FALSE))</f>
        <v>0</v>
      </c>
      <c r="F6" s="49">
        <f>IF('gevaarljike stoffen'!$B8=0,0,VLOOKUP('gevaarljike stoffen'!$B8,Scheme!$E$3:$AZ$128,39,FALSE))</f>
        <v>0</v>
      </c>
      <c r="G6" s="49">
        <f>IF('gevaarljike stoffen'!$B8=0,0,VLOOKUP('gevaarljike stoffen'!$B8,Scheme!$E$3:$AZ$128,40,FALSE))</f>
        <v>0</v>
      </c>
      <c r="H6" s="49">
        <f>IF('gevaarljike stoffen'!$B8=0,0,VLOOKUP('gevaarljike stoffen'!$B8,Scheme!$E$3:$AZ$128,41,FALSE))</f>
        <v>0</v>
      </c>
      <c r="I6" s="49">
        <f>IF('gevaarljike stoffen'!$B8=0,0,VLOOKUP('gevaarljike stoffen'!$B8,Scheme!$E$3:$AZ$128,42,FALSE))</f>
        <v>0</v>
      </c>
      <c r="J6" s="49">
        <f>IF('gevaarljike stoffen'!$B8=0,0,VLOOKUP('gevaarljike stoffen'!$B8,Scheme!$E$3:$AZ$128,43,FALSE))</f>
        <v>0</v>
      </c>
      <c r="K6" s="49">
        <f>IF('gevaarljike stoffen'!$B8=0,0,VLOOKUP('gevaarljike stoffen'!$B8,Scheme!$E$3:$AZ$128,44,FALSE))</f>
        <v>0</v>
      </c>
    </row>
    <row r="7" spans="1:18" x14ac:dyDescent="0.25">
      <c r="A7" s="637">
        <f>'gevaarljike stoffen'!B9</f>
        <v>0</v>
      </c>
      <c r="B7" s="637"/>
      <c r="C7" s="49">
        <f>IF('gevaarljike stoffen'!$B9=0,0,VLOOKUP('gevaarljike stoffen'!$B9,Scheme!$E$3:$AZ$128,36,FALSE))</f>
        <v>0</v>
      </c>
      <c r="D7" s="49">
        <f>IF('gevaarljike stoffen'!$B9=0,0,VLOOKUP('gevaarljike stoffen'!$B9,Scheme!$E$3:$AZ$128,37,FALSE))</f>
        <v>0</v>
      </c>
      <c r="E7" s="49">
        <f>IF('gevaarljike stoffen'!$B9=0,0,VLOOKUP('gevaarljike stoffen'!$B9,Scheme!$E$3:$AZ$128,38,FALSE))</f>
        <v>0</v>
      </c>
      <c r="F7" s="49">
        <f>IF('gevaarljike stoffen'!$B9=0,0,VLOOKUP('gevaarljike stoffen'!$B9,Scheme!$E$3:$AZ$128,39,FALSE))</f>
        <v>0</v>
      </c>
      <c r="G7" s="49">
        <f>IF('gevaarljike stoffen'!$B9=0,0,VLOOKUP('gevaarljike stoffen'!$B9,Scheme!$E$3:$AZ$128,40,FALSE))</f>
        <v>0</v>
      </c>
      <c r="H7" s="49">
        <f>IF('gevaarljike stoffen'!$B9=0,0,VLOOKUP('gevaarljike stoffen'!$B9,Scheme!$E$3:$AZ$128,41,FALSE))</f>
        <v>0</v>
      </c>
      <c r="I7" s="49">
        <f>IF('gevaarljike stoffen'!$B9=0,0,VLOOKUP('gevaarljike stoffen'!$B9,Scheme!$E$3:$AZ$128,42,FALSE))</f>
        <v>0</v>
      </c>
      <c r="J7" s="49">
        <f>IF('gevaarljike stoffen'!$B9=0,0,VLOOKUP('gevaarljike stoffen'!$B9,Scheme!$E$3:$AZ$128,43,FALSE))</f>
        <v>0</v>
      </c>
      <c r="K7" s="49">
        <f>IF('gevaarljike stoffen'!$B9=0,0,VLOOKUP('gevaarljike stoffen'!$B9,Scheme!$E$3:$AZ$128,44,FALSE))</f>
        <v>0</v>
      </c>
    </row>
    <row r="8" spans="1:18" x14ac:dyDescent="0.25">
      <c r="A8" s="151"/>
      <c r="B8" s="151"/>
      <c r="C8" s="4"/>
      <c r="D8" s="4"/>
      <c r="E8" s="4"/>
      <c r="F8" s="4"/>
      <c r="G8" s="4"/>
      <c r="H8" s="4"/>
      <c r="I8" s="4"/>
      <c r="J8" s="4"/>
      <c r="K8" s="4"/>
    </row>
    <row r="9" spans="1:18" x14ac:dyDescent="0.25">
      <c r="A9" s="151"/>
      <c r="B9" s="151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5">
      <c r="A10" s="151"/>
      <c r="B10" s="151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5">
      <c r="C11" s="85" t="b">
        <f>IF(J17="x",TRUE,IF('gevaarljike stoffen'!M5="Not Allowed",FALSE,IF(D11,FALSE,OR(C2&lt;&gt;0,C3&lt;&gt;0,C4&lt;&gt;0,C5&lt;&gt;0,C6&lt;&gt;0,C7&lt;&gt;0))))</f>
        <v>0</v>
      </c>
      <c r="D11" s="85" t="b">
        <f>IF(K17="x",TRUE,IF('gevaarljike stoffen'!M5="Not Allowed",FALSE,OR(D2&lt;&gt;0,D3&lt;&gt;0,D4&lt;&gt;0,D5&lt;&gt;0,D6&lt;&gt;0,D7&lt;&gt;0)))</f>
        <v>0</v>
      </c>
      <c r="E11" s="85" t="b">
        <f>IF(L17="x",TRUE,IF('gevaarljike stoffen'!M5="Not Allowed",FALSE,OR(E2&lt;&gt;0,E3&lt;&gt;0,E4&lt;&gt;0,E5&lt;&gt;0,E6&lt;&gt;0,E7&lt;&gt;0)))</f>
        <v>0</v>
      </c>
      <c r="F11" s="85" t="b">
        <f>IF(M17="x",TRUE,IF('gevaarljike stoffen'!M5="Not Allowed",FALSE,OR(F2&lt;&gt;0,F3&lt;&gt;0,F4&lt;&gt;0,F5&lt;&gt;0,F6&lt;&gt;0,F7&lt;&gt;0)))</f>
        <v>0</v>
      </c>
      <c r="G11" s="85" t="b">
        <f>IF(N17="x",TRUE,IF('gevaarljike stoffen'!M5="Not Allowed",FALSE,IF(H11,FALSE,OR(G2&lt;&gt;0,G3&lt;&gt;0,G4&lt;&gt;0,G5&lt;&gt;0,G6&lt;&gt;0,G7&lt;&gt;0))))</f>
        <v>0</v>
      </c>
      <c r="H11" s="85" t="b">
        <f>IF(O17="x",TRUE,IF('gevaarljike stoffen'!M5="Not Allowed",FALSE,OR(H2&lt;&gt;0,H3&lt;&gt;0,H4&lt;&gt;0,H5&lt;&gt;0,H6&lt;&gt;0,H7&lt;&gt;0)))</f>
        <v>0</v>
      </c>
      <c r="I11" s="85" t="b">
        <f>IF(P17="x",TRUE,IF('gevaarljike stoffen'!M5="Not Allowed",FALSE,OR(I2&lt;&gt;0,I3&lt;&gt;0,I4&lt;&gt;0,I5&lt;&gt;0,I6&lt;&gt;0,I7&lt;&gt;0)))</f>
        <v>0</v>
      </c>
      <c r="J11" s="85" t="b">
        <f>IF(Q17="x",TRUE,IF('gevaarljike stoffen'!M5="Not Allowed",FALSE,OR(J2&lt;&gt;0,J3&lt;&gt;0,J4&lt;&gt;0,J5&lt;&gt;0,J6&lt;&gt;0,J7&lt;&gt;0)))</f>
        <v>0</v>
      </c>
      <c r="K11" s="85" t="b">
        <f>IF(R17="x",TRUE,IF('gevaarljike stoffen'!M5="Not Allowed",FALSE,OR(K2&lt;&gt;0,K3&lt;&gt;0,K4&lt;&gt;0,K5&lt;&gt;0,K6&lt;&gt;0,K7&lt;&gt;0)))</f>
        <v>0</v>
      </c>
    </row>
    <row r="14" spans="1:18" x14ac:dyDescent="0.25">
      <c r="A14" s="119"/>
      <c r="B14" s="119"/>
      <c r="C14" s="42" t="s">
        <v>779</v>
      </c>
      <c r="D14" s="42" t="s">
        <v>577</v>
      </c>
      <c r="E14" s="42" t="s">
        <v>574</v>
      </c>
      <c r="F14" s="640" t="s">
        <v>564</v>
      </c>
      <c r="G14" s="641"/>
      <c r="H14" s="41" t="s">
        <v>576</v>
      </c>
    </row>
    <row r="15" spans="1:18" ht="32.25" customHeight="1" x14ac:dyDescent="0.25">
      <c r="A15" s="146" t="s">
        <v>720</v>
      </c>
      <c r="B15" s="120" t="s">
        <v>723</v>
      </c>
      <c r="C15" s="120" t="s">
        <v>743</v>
      </c>
      <c r="D15" s="153"/>
      <c r="E15" s="120">
        <v>1</v>
      </c>
      <c r="F15" s="39" t="str">
        <f>IF(C11,C1,IF(D11,D1,IF(E11,E1,IF(F11,F1,IF(G11,G1,IF(H11,H1,IF(I11,I1,IF(J11,J1,IF(K11,K1,L1)))))))))</f>
        <v>M999</v>
      </c>
      <c r="G15" s="40"/>
      <c r="H15" s="150">
        <f ca="1">OFFSET($D$14,MATCH($F15,ppe,0),0,1,1)</f>
        <v>0</v>
      </c>
      <c r="J15" t="s">
        <v>743</v>
      </c>
      <c r="K15" t="s">
        <v>744</v>
      </c>
      <c r="L15" t="s">
        <v>751</v>
      </c>
      <c r="M15" t="s">
        <v>752</v>
      </c>
      <c r="N15" s="88" t="s">
        <v>753</v>
      </c>
      <c r="O15" t="s">
        <v>754</v>
      </c>
      <c r="P15" t="s">
        <v>755</v>
      </c>
      <c r="Q15" t="s">
        <v>764</v>
      </c>
      <c r="R15" t="s">
        <v>763</v>
      </c>
    </row>
    <row r="16" spans="1:18" ht="32.25" customHeight="1" x14ac:dyDescent="0.25">
      <c r="A16" s="120"/>
      <c r="B16" s="120" t="s">
        <v>724</v>
      </c>
      <c r="C16" s="120" t="s">
        <v>744</v>
      </c>
      <c r="D16" s="152"/>
      <c r="E16" s="120">
        <v>2</v>
      </c>
      <c r="F16" s="30" t="str">
        <f>IF(F15=C1,G16,IF(F15=D1,G17,IF(F15=E1,G18,IF(F15=F1,G19,IF(F15=G1,G20,IF(F15=H1,G21,IF(F15=I1,G22,IF(F15=J1,G23,L1))))))))</f>
        <v>M999</v>
      </c>
      <c r="G16" s="5" t="str">
        <f>IF(D11,D1,IF(E11,E1,IF(F11,F1,IF(G11,G1,IF(H11,H1,IF(I11,I1,IF(J11,J1,IF(K11,K1,L1))))))))</f>
        <v>M999</v>
      </c>
      <c r="H16" s="150">
        <f t="shared" ref="H16:H23" ca="1" si="0">OFFSET($D$14,MATCH($F16,ppe,0),0,1,1)</f>
        <v>0</v>
      </c>
      <c r="J16">
        <f>IF(OR($F15=J15,$F16=J15,$F17=J15,$F18=J15,$F19=J15,$F20=J15,$F21=J15,$F22=J15,$F23=J15),1,0)</f>
        <v>0</v>
      </c>
      <c r="K16">
        <f t="shared" ref="K16:R16" si="1">IF(OR($F15=K15,$F16=K15,$F17=K15,$F18=K15,$F19=K15,$F20=K15,$F21=K15,$F22=K15,$F23=K15),1,0)</f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</row>
    <row r="17" spans="1:18" ht="32.25" customHeight="1" x14ac:dyDescent="0.25">
      <c r="A17" s="146" t="s">
        <v>721</v>
      </c>
      <c r="B17" s="120" t="s">
        <v>725</v>
      </c>
      <c r="C17" s="120" t="s">
        <v>751</v>
      </c>
      <c r="D17" s="152"/>
      <c r="E17" s="120">
        <v>3</v>
      </c>
      <c r="F17" s="6" t="str">
        <f>IF(F16=D1,G17,IF(F16=E1,G18,IF(F16=F1,G19,IF(F16=G1,G20,IF(F16=H1,G21,IF(F16=I1,G22,IF(F16=J1,G23,L1)))))))</f>
        <v>M999</v>
      </c>
      <c r="G17" s="5" t="str">
        <f>IF(E11,E1,IF(F11,F1,IF(G11,G1,IF(H11,H1,IF(I11,I1,IF(J11,J1,IF(K11,K1,L1)))))))</f>
        <v>M999</v>
      </c>
      <c r="H17" s="150">
        <f t="shared" ca="1" si="0"/>
        <v>0</v>
      </c>
      <c r="J17">
        <f>'gevaarljike stoffen'!C11</f>
        <v>0</v>
      </c>
      <c r="K17">
        <f>'gevaarljike stoffen'!D11</f>
        <v>0</v>
      </c>
      <c r="L17">
        <f>'gevaarljike stoffen'!E11</f>
        <v>0</v>
      </c>
      <c r="M17">
        <f>'gevaarljike stoffen'!F11</f>
        <v>0</v>
      </c>
      <c r="N17">
        <f>'gevaarljike stoffen'!G11</f>
        <v>0</v>
      </c>
      <c r="O17">
        <f>'gevaarljike stoffen'!H11</f>
        <v>0</v>
      </c>
      <c r="P17">
        <f>'gevaarljike stoffen'!I11</f>
        <v>0</v>
      </c>
      <c r="Q17">
        <f>'gevaarljike stoffen'!J11</f>
        <v>0</v>
      </c>
      <c r="R17">
        <f>'gevaarljike stoffen'!K11</f>
        <v>0</v>
      </c>
    </row>
    <row r="18" spans="1:18" ht="32.25" customHeight="1" x14ac:dyDescent="0.25">
      <c r="A18" s="120"/>
      <c r="B18" s="120" t="s">
        <v>745</v>
      </c>
      <c r="C18" s="120" t="s">
        <v>752</v>
      </c>
      <c r="D18" s="152"/>
      <c r="E18" s="120">
        <v>4</v>
      </c>
      <c r="F18" s="3" t="str">
        <f>IF(F17=E1,G18,IF(F17=F1,G19,IF(F17=G1,G20,IF(F17=H1,G21,IF(F17=I1,G22,IF(F17=J1,G23,L1))))))</f>
        <v>M999</v>
      </c>
      <c r="G18" s="5" t="str">
        <f>IF(F11,F1,IF(G11,G1,IF(H11,H1,IF(I11,I1,IF(J11,J1,IF(K11,K1,L1))))))</f>
        <v>M999</v>
      </c>
      <c r="H18" s="150">
        <f t="shared" ca="1" si="0"/>
        <v>0</v>
      </c>
    </row>
    <row r="19" spans="1:18" ht="32.25" customHeight="1" x14ac:dyDescent="0.25">
      <c r="A19" s="146" t="s">
        <v>747</v>
      </c>
      <c r="B19" s="120" t="s">
        <v>748</v>
      </c>
      <c r="C19" s="120" t="s">
        <v>753</v>
      </c>
      <c r="D19" s="152"/>
      <c r="E19" s="120">
        <v>5</v>
      </c>
      <c r="F19" s="3" t="str">
        <f>IF(F18=F1,G19,IF(F18=G1,G20,IF(F18=H1,G21,IF(F18=I1,G22,IF(F18=J1,G23,L1)))))</f>
        <v>M999</v>
      </c>
      <c r="G19" s="5" t="str">
        <f>IF(G11,G1,IF(H11,H1,IF(I11,I1,IF(J11,J1,IF(K11,K1,L1)))))</f>
        <v>M999</v>
      </c>
      <c r="H19" s="150">
        <f t="shared" ca="1" si="0"/>
        <v>0</v>
      </c>
      <c r="I19" s="639"/>
    </row>
    <row r="20" spans="1:18" ht="32.25" customHeight="1" x14ac:dyDescent="0.25">
      <c r="A20" s="120"/>
      <c r="B20" s="120" t="s">
        <v>749</v>
      </c>
      <c r="C20" s="120" t="s">
        <v>754</v>
      </c>
      <c r="D20" s="152"/>
      <c r="E20" s="120">
        <v>6</v>
      </c>
      <c r="F20" s="3" t="str">
        <f>IF(F19=G1,G20,IF(F19=H1,G21,IF(F19=I1,G22,IF(F19=J1,G23,L1))))</f>
        <v>M999</v>
      </c>
      <c r="G20" s="5" t="str">
        <f>IF(H11,H1,IF(I11,I1,IF(J11,J1,IF(K11,K1,L1))))</f>
        <v>M999</v>
      </c>
      <c r="H20" s="150">
        <f t="shared" ca="1" si="0"/>
        <v>0</v>
      </c>
      <c r="I20" s="639"/>
    </row>
    <row r="21" spans="1:18" ht="32.25" customHeight="1" x14ac:dyDescent="0.25">
      <c r="A21" s="146" t="s">
        <v>750</v>
      </c>
      <c r="B21" s="120" t="s">
        <v>746</v>
      </c>
      <c r="C21" s="120" t="s">
        <v>755</v>
      </c>
      <c r="D21" s="152"/>
      <c r="E21" s="120">
        <v>7</v>
      </c>
      <c r="F21" s="3" t="str">
        <f>IF(F20=H1,G21,IF(F20=I1,G22,IF(F20=J1,G23,L1)))</f>
        <v>M999</v>
      </c>
      <c r="G21" s="5" t="str">
        <f>IF(I11,I1,IF(J11,J1,IF(K11,K1,L1)))</f>
        <v>M999</v>
      </c>
      <c r="H21" s="150">
        <f t="shared" ca="1" si="0"/>
        <v>0</v>
      </c>
      <c r="I21" s="639"/>
    </row>
    <row r="22" spans="1:18" ht="32.25" customHeight="1" x14ac:dyDescent="0.25">
      <c r="A22" s="120"/>
      <c r="B22" s="120" t="s">
        <v>757</v>
      </c>
      <c r="C22" s="120" t="s">
        <v>764</v>
      </c>
      <c r="D22" s="152"/>
      <c r="E22" s="120">
        <v>8</v>
      </c>
      <c r="F22" s="3" t="str">
        <f>IF(F21=I1,G22,IF(F21=J1,G23,L1))</f>
        <v>M999</v>
      </c>
      <c r="G22" s="5" t="str">
        <f>IF(J11,J1,IF(K11,K1,L1))</f>
        <v>M999</v>
      </c>
      <c r="H22" s="150">
        <f t="shared" ca="1" si="0"/>
        <v>0</v>
      </c>
      <c r="I22" s="639"/>
    </row>
    <row r="23" spans="1:18" ht="32.25" customHeight="1" x14ac:dyDescent="0.25">
      <c r="A23" s="146"/>
      <c r="B23" s="120" t="s">
        <v>762</v>
      </c>
      <c r="C23" s="120" t="s">
        <v>763</v>
      </c>
      <c r="D23" s="152"/>
      <c r="E23" s="120">
        <v>9</v>
      </c>
      <c r="F23" s="3" t="str">
        <f>IF(F22=J1,G23,L1)</f>
        <v>M999</v>
      </c>
      <c r="G23" s="5" t="str">
        <f>IF(K11,K1,L1)</f>
        <v>M999</v>
      </c>
      <c r="H23" s="150">
        <f t="shared" ca="1" si="0"/>
        <v>0</v>
      </c>
      <c r="I23" s="639"/>
    </row>
    <row r="24" spans="1:18" ht="32.25" customHeight="1" x14ac:dyDescent="0.25">
      <c r="A24" s="120"/>
      <c r="B24" s="120"/>
      <c r="C24" s="120" t="s">
        <v>803</v>
      </c>
      <c r="D24" s="152"/>
      <c r="E24" s="120"/>
      <c r="F24" s="6"/>
      <c r="G24" s="4"/>
      <c r="H24" s="120"/>
    </row>
    <row r="25" spans="1:18" ht="17.25" customHeight="1" x14ac:dyDescent="0.25">
      <c r="A25" s="120"/>
      <c r="B25" s="120"/>
      <c r="C25" s="120"/>
      <c r="D25" s="152"/>
      <c r="E25" s="120"/>
      <c r="F25" s="6"/>
      <c r="G25" s="4"/>
      <c r="H25" s="120"/>
    </row>
    <row r="26" spans="1:18" ht="17.25" customHeight="1" x14ac:dyDescent="0.25">
      <c r="A26" s="120"/>
      <c r="B26" s="120"/>
      <c r="C26" s="120"/>
      <c r="D26" s="152"/>
      <c r="E26" s="120"/>
      <c r="F26" s="6"/>
      <c r="G26" s="4"/>
      <c r="H26" s="120"/>
    </row>
    <row r="27" spans="1:18" ht="17.25" customHeight="1" x14ac:dyDescent="0.25">
      <c r="A27" s="146"/>
      <c r="B27" s="120"/>
      <c r="C27" s="120"/>
      <c r="D27" s="152"/>
      <c r="E27" s="120"/>
      <c r="F27" s="6"/>
      <c r="G27" s="4"/>
      <c r="H27" s="120"/>
      <c r="K27" s="88"/>
    </row>
    <row r="28" spans="1:18" ht="17.25" customHeight="1" x14ac:dyDescent="0.25">
      <c r="A28" s="120"/>
      <c r="B28" s="120"/>
      <c r="C28" s="120"/>
      <c r="D28" s="152"/>
      <c r="E28" s="120"/>
      <c r="F28" s="6"/>
      <c r="G28" s="4"/>
      <c r="H28" s="120"/>
    </row>
    <row r="29" spans="1:18" ht="17.25" customHeight="1" x14ac:dyDescent="0.25">
      <c r="A29" s="120"/>
      <c r="B29" s="120"/>
      <c r="C29" s="120"/>
      <c r="D29" s="152"/>
      <c r="E29" s="120"/>
      <c r="F29" s="6"/>
      <c r="G29" s="4"/>
      <c r="H29" s="120"/>
    </row>
    <row r="30" spans="1:18" ht="17.25" customHeight="1" x14ac:dyDescent="0.25">
      <c r="A30" s="120"/>
      <c r="B30" s="120"/>
      <c r="C30" s="120"/>
      <c r="D30" s="152"/>
      <c r="E30" s="120"/>
      <c r="F30" s="6"/>
      <c r="G30" s="4"/>
      <c r="H30" s="120"/>
    </row>
    <row r="31" spans="1:18" ht="17.25" customHeight="1" x14ac:dyDescent="0.25">
      <c r="A31" s="120"/>
      <c r="B31" s="120"/>
      <c r="C31" s="120"/>
      <c r="D31" s="152"/>
      <c r="E31" s="120"/>
      <c r="F31" s="148"/>
      <c r="G31" s="4"/>
      <c r="H31" s="120"/>
      <c r="K31" s="88"/>
    </row>
    <row r="32" spans="1:18" ht="17.25" customHeight="1" x14ac:dyDescent="0.25">
      <c r="A32" s="121"/>
      <c r="B32" s="121"/>
      <c r="C32" s="121"/>
      <c r="D32" s="154"/>
      <c r="E32" s="121"/>
      <c r="F32" s="36"/>
      <c r="G32" s="149"/>
      <c r="H32" s="121"/>
    </row>
    <row r="33" spans="4:4" ht="17.25" customHeight="1" x14ac:dyDescent="0.25">
      <c r="D33" s="638"/>
    </row>
    <row r="34" spans="4:4" ht="17.25" customHeight="1" x14ac:dyDescent="0.25">
      <c r="D34" s="638"/>
    </row>
    <row r="35" spans="4:4" ht="17.25" customHeight="1" x14ac:dyDescent="0.25">
      <c r="D35" s="638"/>
    </row>
    <row r="36" spans="4:4" ht="17.25" customHeight="1" x14ac:dyDescent="0.25">
      <c r="D36" s="638"/>
    </row>
    <row r="37" spans="4:4" ht="17.25" customHeight="1" x14ac:dyDescent="0.25">
      <c r="D37" s="638"/>
    </row>
    <row r="38" spans="4:4" ht="17.25" customHeight="1" x14ac:dyDescent="0.25">
      <c r="D38" s="638"/>
    </row>
    <row r="39" spans="4:4" ht="17.25" customHeight="1" x14ac:dyDescent="0.25"/>
    <row r="40" spans="4:4" ht="17.25" customHeight="1" x14ac:dyDescent="0.25"/>
    <row r="41" spans="4:4" ht="17.25" customHeight="1" x14ac:dyDescent="0.25"/>
    <row r="42" spans="4:4" ht="17.25" customHeight="1" x14ac:dyDescent="0.25"/>
    <row r="43" spans="4:4" ht="17.25" customHeight="1" x14ac:dyDescent="0.25"/>
    <row r="69" spans="28:28" x14ac:dyDescent="0.25">
      <c r="AB69" s="88"/>
    </row>
    <row r="83" spans="21:21" x14ac:dyDescent="0.25">
      <c r="U83" s="88"/>
    </row>
  </sheetData>
  <mergeCells count="12">
    <mergeCell ref="D37:D38"/>
    <mergeCell ref="I19:I23"/>
    <mergeCell ref="D33:D34"/>
    <mergeCell ref="D35:D36"/>
    <mergeCell ref="A6:B6"/>
    <mergeCell ref="A7:B7"/>
    <mergeCell ref="F14:G14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H30"/>
  <sheetViews>
    <sheetView workbookViewId="0">
      <selection activeCell="N10" sqref="N10"/>
    </sheetView>
  </sheetViews>
  <sheetFormatPr defaultRowHeight="15" x14ac:dyDescent="0.25"/>
  <cols>
    <col min="1" max="10" width="6.5703125" customWidth="1"/>
    <col min="11" max="21" width="6.140625" customWidth="1"/>
  </cols>
  <sheetData>
    <row r="1" spans="1:8" ht="17.25" customHeight="1" x14ac:dyDescent="0.25">
      <c r="A1" s="636" t="s">
        <v>575</v>
      </c>
      <c r="B1" s="636"/>
      <c r="C1" s="42" t="s">
        <v>765</v>
      </c>
      <c r="D1" s="145" t="s">
        <v>766</v>
      </c>
      <c r="E1" s="145" t="s">
        <v>767</v>
      </c>
      <c r="F1" s="147" t="s">
        <v>805</v>
      </c>
    </row>
    <row r="2" spans="1:8" ht="17.25" customHeight="1" x14ac:dyDescent="0.25">
      <c r="A2" s="35">
        <f>'gevaarljike stoffen'!B4</f>
        <v>0</v>
      </c>
      <c r="B2" s="40"/>
      <c r="C2" s="49">
        <f>IF('gevaarljike stoffen'!$B4=0,0,VLOOKUP('gevaarljike stoffen'!$B4,Scheme!$E$3:$AZ$128,45,FALSE))</f>
        <v>0</v>
      </c>
      <c r="D2" s="49">
        <f>IF('gevaarljike stoffen'!$B4=0,0,VLOOKUP('gevaarljike stoffen'!$B4,Scheme!$E$3:$AZ$128,46,FALSE))</f>
        <v>0</v>
      </c>
      <c r="E2" s="49">
        <f>IF('gevaarljike stoffen'!$B4=0,0,VLOOKUP('gevaarljike stoffen'!$B4,Scheme!$E$3:$AZ$128,47,FALSE))</f>
        <v>0</v>
      </c>
    </row>
    <row r="3" spans="1:8" ht="17.25" customHeight="1" x14ac:dyDescent="0.25">
      <c r="A3" s="6">
        <f>'gevaarljike stoffen'!B5</f>
        <v>0</v>
      </c>
      <c r="B3" s="155"/>
      <c r="C3" s="49">
        <f>IF('gevaarljike stoffen'!$B5=0,0,VLOOKUP('gevaarljike stoffen'!$B5,Scheme!$E$3:$AZ$128,45,FALSE))</f>
        <v>0</v>
      </c>
      <c r="D3" s="49">
        <f>IF('gevaarljike stoffen'!$B5=0,0,VLOOKUP('gevaarljike stoffen'!$B5,Scheme!$E$3:$AZ$128,46,FALSE))</f>
        <v>0</v>
      </c>
      <c r="E3" s="49">
        <f>IF('gevaarljike stoffen'!$B5=0,0,VLOOKUP('gevaarljike stoffen'!$B5,Scheme!$E$3:$AZ$128,47,FALSE))</f>
        <v>0</v>
      </c>
    </row>
    <row r="4" spans="1:8" ht="17.25" customHeight="1" x14ac:dyDescent="0.25">
      <c r="A4" s="6">
        <f>'gevaarljike stoffen'!B6</f>
        <v>0</v>
      </c>
      <c r="B4" s="155"/>
      <c r="C4" s="49">
        <f>IF('gevaarljike stoffen'!$B6=0,0,VLOOKUP('gevaarljike stoffen'!$B6,Scheme!$E$3:$AZ$128,45,FALSE))</f>
        <v>0</v>
      </c>
      <c r="D4" s="49">
        <f>IF('gevaarljike stoffen'!$B6=0,0,VLOOKUP('gevaarljike stoffen'!$B6,Scheme!$E$3:$AZ$128,46,FALSE))</f>
        <v>0</v>
      </c>
      <c r="E4" s="49">
        <f>IF('gevaarljike stoffen'!$B6=0,0,VLOOKUP('gevaarljike stoffen'!$B6,Scheme!$E$3:$AZ$128,47,FALSE))</f>
        <v>0</v>
      </c>
    </row>
    <row r="5" spans="1:8" ht="17.25" customHeight="1" x14ac:dyDescent="0.25">
      <c r="A5" s="6">
        <f>'gevaarljike stoffen'!B7</f>
        <v>0</v>
      </c>
      <c r="B5" s="155"/>
      <c r="C5" s="49">
        <f>IF('gevaarljike stoffen'!$B7=0,0,VLOOKUP('gevaarljike stoffen'!$B7,Scheme!$E$3:$AZ$128,45,FALSE))</f>
        <v>0</v>
      </c>
      <c r="D5" s="49">
        <f>IF('gevaarljike stoffen'!$B7=0,0,VLOOKUP('gevaarljike stoffen'!$B7,Scheme!$E$3:$AZ$128,46,FALSE))</f>
        <v>0</v>
      </c>
      <c r="E5" s="49">
        <f>IF('gevaarljike stoffen'!$B7=0,0,VLOOKUP('gevaarljike stoffen'!$B7,Scheme!$E$3:$AZ$128,47,FALSE))</f>
        <v>0</v>
      </c>
    </row>
    <row r="6" spans="1:8" ht="17.25" customHeight="1" x14ac:dyDescent="0.25">
      <c r="A6" s="6">
        <f>'gevaarljike stoffen'!B8</f>
        <v>0</v>
      </c>
      <c r="B6" s="155"/>
      <c r="C6" s="49">
        <f>IF('gevaarljike stoffen'!$B8=0,0,VLOOKUP('gevaarljike stoffen'!$B8,Scheme!$E$3:$AZ$128,45,FALSE))</f>
        <v>0</v>
      </c>
      <c r="D6" s="49">
        <f>IF('gevaarljike stoffen'!$B8=0,0,VLOOKUP('gevaarljike stoffen'!$B8,Scheme!$E$3:$AZ$128,46,FALSE))</f>
        <v>0</v>
      </c>
      <c r="E6" s="49">
        <f>IF('gevaarljike stoffen'!$B8=0,0,VLOOKUP('gevaarljike stoffen'!$B8,Scheme!$E$3:$AZ$128,47,FALSE))</f>
        <v>0</v>
      </c>
    </row>
    <row r="7" spans="1:8" ht="17.25" customHeight="1" x14ac:dyDescent="0.25">
      <c r="A7" s="36">
        <f>'gevaarljike stoffen'!B9</f>
        <v>0</v>
      </c>
      <c r="B7" s="156"/>
      <c r="C7" s="49">
        <f>IF('gevaarljike stoffen'!$B9=0,0,VLOOKUP('gevaarljike stoffen'!$B9,Scheme!$E$3:$AZ$128,45,FALSE))</f>
        <v>0</v>
      </c>
      <c r="D7" s="49">
        <f>IF('gevaarljike stoffen'!$B9=0,0,VLOOKUP('gevaarljike stoffen'!$B9,Scheme!$E$3:$AZ$128,46,FALSE))</f>
        <v>0</v>
      </c>
      <c r="E7" s="49">
        <f>IF('gevaarljike stoffen'!$B9=0,0,VLOOKUP('gevaarljike stoffen'!$B9,Scheme!$E$3:$AZ$128,47,FALSE))</f>
        <v>0</v>
      </c>
    </row>
    <row r="8" spans="1:8" ht="17.25" customHeight="1" x14ac:dyDescent="0.25"/>
    <row r="9" spans="1:8" ht="17.25" customHeight="1" x14ac:dyDescent="0.25"/>
    <row r="10" spans="1:8" ht="17.25" customHeight="1" x14ac:dyDescent="0.25"/>
    <row r="11" spans="1:8" ht="17.25" customHeight="1" x14ac:dyDescent="0.25">
      <c r="C11" s="85" t="b">
        <f>IF('gevaarljike stoffen'!M5="Not Allowed",FALSE,OR(C2&lt;&gt;0,C3&lt;&gt;0,C4&lt;&gt;0,C5&lt;&gt;0,C6&lt;&gt;0,C7&lt;&gt;0))</f>
        <v>0</v>
      </c>
      <c r="D11" s="85" t="b">
        <f>IF('gevaarljike stoffen'!M5="Not Allowed",FALSE,OR(D2&lt;&gt;0,D3&lt;&gt;0,D4&lt;&gt;0,D5&lt;&gt;0,D6&lt;&gt;0,D7&lt;&gt;0))</f>
        <v>0</v>
      </c>
      <c r="E11" s="85" t="b">
        <f>IF('gevaarljike stoffen'!M5="Not Allowed",FALSE,OR(E2&lt;&gt;0,E3&lt;&gt;0,E4&lt;&gt;0,E5&lt;&gt;0,E6&lt;&gt;0,E7&lt;&gt;0))</f>
        <v>0</v>
      </c>
    </row>
    <row r="12" spans="1:8" ht="17.25" customHeight="1" x14ac:dyDescent="0.25">
      <c r="C12" s="85"/>
      <c r="D12" s="85"/>
      <c r="E12" s="85"/>
    </row>
    <row r="13" spans="1:8" ht="17.25" customHeight="1" x14ac:dyDescent="0.25">
      <c r="C13" s="85"/>
      <c r="D13" s="85"/>
      <c r="E13" s="85"/>
    </row>
    <row r="14" spans="1:8" ht="17.25" customHeight="1" x14ac:dyDescent="0.25">
      <c r="C14" s="85" t="s">
        <v>804</v>
      </c>
      <c r="D14" s="85" t="s">
        <v>577</v>
      </c>
      <c r="E14" s="85" t="s">
        <v>574</v>
      </c>
      <c r="F14" s="85" t="s">
        <v>564</v>
      </c>
      <c r="H14" s="85" t="s">
        <v>576</v>
      </c>
    </row>
    <row r="15" spans="1:8" ht="34.5" customHeight="1" x14ac:dyDescent="0.25">
      <c r="A15" t="s">
        <v>758</v>
      </c>
      <c r="B15" t="s">
        <v>761</v>
      </c>
      <c r="C15" s="119" t="s">
        <v>765</v>
      </c>
      <c r="D15" s="158"/>
      <c r="E15" s="119">
        <v>1</v>
      </c>
      <c r="F15" s="159" t="str">
        <f>IF(C11,C1,IF(D11,D1,IF(E11,E1,F1)))</f>
        <v>P999</v>
      </c>
      <c r="G15" s="119"/>
      <c r="H15" s="160">
        <f ca="1">OFFSET($D$14,MATCH($F15,verbod,0),0,1,1)</f>
        <v>0</v>
      </c>
    </row>
    <row r="16" spans="1:8" ht="34.5" customHeight="1" x14ac:dyDescent="0.25">
      <c r="B16" t="s">
        <v>759</v>
      </c>
      <c r="C16" s="120" t="s">
        <v>766</v>
      </c>
      <c r="D16" s="161"/>
      <c r="E16" s="120">
        <v>2</v>
      </c>
      <c r="F16" s="162" t="str">
        <f>IF(F15=C1,G16,IF(F15=D1,G17,F1))</f>
        <v>P999</v>
      </c>
      <c r="G16" s="11" t="str">
        <f>IF(D11,D1,IF(E11,E1,F1))</f>
        <v>P999</v>
      </c>
      <c r="H16" s="150">
        <f ca="1">OFFSET($D$14,MATCH($F16,verbod,0),0,1,1)</f>
        <v>0</v>
      </c>
    </row>
    <row r="17" spans="2:8" ht="34.5" customHeight="1" x14ac:dyDescent="0.25">
      <c r="B17" t="s">
        <v>760</v>
      </c>
      <c r="C17" s="121" t="s">
        <v>767</v>
      </c>
      <c r="D17" s="154"/>
      <c r="E17" s="121">
        <v>3</v>
      </c>
      <c r="F17" s="121" t="str">
        <f>IF(F16=D1,G17,F1)</f>
        <v>P999</v>
      </c>
      <c r="G17" s="38" t="str">
        <f>IF(E11,E1,F1)</f>
        <v>P999</v>
      </c>
      <c r="H17" s="163">
        <f ca="1">OFFSET($D$14,MATCH($F17,verbod,0),0,1,1)</f>
        <v>0</v>
      </c>
    </row>
    <row r="18" spans="2:8" ht="34.5" customHeight="1" x14ac:dyDescent="0.25">
      <c r="C18" t="s">
        <v>805</v>
      </c>
      <c r="D18" s="157"/>
    </row>
    <row r="19" spans="2:8" ht="17.25" customHeight="1" x14ac:dyDescent="0.25"/>
    <row r="20" spans="2:8" ht="17.25" customHeight="1" x14ac:dyDescent="0.25"/>
    <row r="21" spans="2:8" ht="17.25" customHeight="1" x14ac:dyDescent="0.25"/>
    <row r="22" spans="2:8" ht="17.25" customHeight="1" x14ac:dyDescent="0.25"/>
    <row r="23" spans="2:8" ht="17.25" customHeight="1" x14ac:dyDescent="0.25"/>
    <row r="24" spans="2:8" ht="17.25" customHeight="1" x14ac:dyDescent="0.25"/>
    <row r="25" spans="2:8" ht="17.25" customHeight="1" x14ac:dyDescent="0.25"/>
    <row r="26" spans="2:8" ht="17.25" customHeight="1" x14ac:dyDescent="0.25"/>
    <row r="27" spans="2:8" ht="17.25" customHeight="1" x14ac:dyDescent="0.25"/>
    <row r="28" spans="2:8" ht="17.25" customHeight="1" x14ac:dyDescent="0.25"/>
    <row r="29" spans="2:8" ht="17.25" customHeight="1" x14ac:dyDescent="0.25"/>
    <row r="30" spans="2:8" ht="17.25" customHeight="1" x14ac:dyDescent="0.25"/>
  </sheetData>
  <mergeCells count="1"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B11"/>
  <sheetViews>
    <sheetView workbookViewId="0">
      <selection activeCell="B10" sqref="B10"/>
    </sheetView>
  </sheetViews>
  <sheetFormatPr defaultRowHeight="15" x14ac:dyDescent="0.25"/>
  <cols>
    <col min="1" max="1" width="40.140625" bestFit="1" customWidth="1"/>
    <col min="2" max="2" width="18.28515625" bestFit="1" customWidth="1"/>
  </cols>
  <sheetData>
    <row r="1" spans="1:2" x14ac:dyDescent="0.25">
      <c r="A1" s="85" t="s">
        <v>793</v>
      </c>
    </row>
    <row r="2" spans="1:2" x14ac:dyDescent="0.25">
      <c r="A2" t="s">
        <v>726</v>
      </c>
      <c r="B2" t="s">
        <v>727</v>
      </c>
    </row>
    <row r="3" spans="1:2" x14ac:dyDescent="0.25">
      <c r="A3" t="s">
        <v>728</v>
      </c>
      <c r="B3" t="s">
        <v>729</v>
      </c>
    </row>
    <row r="4" spans="1:2" x14ac:dyDescent="0.25">
      <c r="A4" t="s">
        <v>730</v>
      </c>
      <c r="B4" t="s">
        <v>731</v>
      </c>
    </row>
    <row r="5" spans="1:2" x14ac:dyDescent="0.25">
      <c r="A5" t="s">
        <v>732</v>
      </c>
      <c r="B5" t="s">
        <v>733</v>
      </c>
    </row>
    <row r="6" spans="1:2" x14ac:dyDescent="0.25">
      <c r="A6" t="s">
        <v>734</v>
      </c>
      <c r="B6" t="s">
        <v>735</v>
      </c>
    </row>
    <row r="7" spans="1:2" x14ac:dyDescent="0.25">
      <c r="A7" t="s">
        <v>736</v>
      </c>
      <c r="B7" t="s">
        <v>798</v>
      </c>
    </row>
    <row r="8" spans="1:2" x14ac:dyDescent="0.25">
      <c r="A8" t="s">
        <v>737</v>
      </c>
      <c r="B8" t="s">
        <v>738</v>
      </c>
    </row>
    <row r="9" spans="1:2" x14ac:dyDescent="0.25">
      <c r="A9" t="s">
        <v>739</v>
      </c>
      <c r="B9" t="s">
        <v>740</v>
      </c>
    </row>
    <row r="10" spans="1:2" x14ac:dyDescent="0.25">
      <c r="A10" t="s">
        <v>741</v>
      </c>
      <c r="B10" t="s">
        <v>796</v>
      </c>
    </row>
    <row r="11" spans="1:2" x14ac:dyDescent="0.25">
      <c r="A11" t="s">
        <v>742</v>
      </c>
      <c r="B11" t="s">
        <v>797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H25"/>
  <sheetViews>
    <sheetView workbookViewId="0">
      <selection activeCell="A2" sqref="A2:B2"/>
    </sheetView>
  </sheetViews>
  <sheetFormatPr defaultRowHeight="15" x14ac:dyDescent="0.25"/>
  <cols>
    <col min="1" max="1" width="6.5703125" customWidth="1"/>
    <col min="2" max="2" width="96.7109375" customWidth="1"/>
    <col min="3" max="3" width="24.7109375" bestFit="1" customWidth="1"/>
    <col min="4" max="4" width="21" bestFit="1" customWidth="1"/>
    <col min="5" max="5" width="0" hidden="1" customWidth="1"/>
    <col min="6" max="6" width="13.42578125" customWidth="1"/>
    <col min="7" max="7" width="35.85546875" customWidth="1"/>
    <col min="8" max="8" width="205.85546875" bestFit="1" customWidth="1"/>
  </cols>
  <sheetData>
    <row r="1" spans="1:8" ht="15.75" thickBot="1" x14ac:dyDescent="0.3">
      <c r="C1" s="352" t="str">
        <f>IF(SUM(E3:E8)=0,"Non Dangerous Waste", "Possible Dangerous Waste")</f>
        <v>Non Dangerous Waste</v>
      </c>
    </row>
    <row r="2" spans="1:8" ht="15.75" thickBot="1" x14ac:dyDescent="0.3">
      <c r="A2" s="642" t="s">
        <v>2349</v>
      </c>
      <c r="B2" s="643"/>
      <c r="C2" s="642" t="s">
        <v>2349</v>
      </c>
      <c r="D2" s="643"/>
      <c r="E2" s="331"/>
      <c r="F2" s="331" t="s">
        <v>2350</v>
      </c>
      <c r="G2" s="331" t="s">
        <v>2256</v>
      </c>
      <c r="H2" s="332" t="s">
        <v>2351</v>
      </c>
    </row>
    <row r="3" spans="1:8" ht="14.25" customHeight="1" x14ac:dyDescent="0.25">
      <c r="A3" s="344" t="s">
        <v>2240</v>
      </c>
      <c r="B3" s="350" t="s">
        <v>2321</v>
      </c>
      <c r="C3" s="353">
        <f>IF('gevaarljike stoffen'!B4=0,0,VLOOKUP('gevaarljike stoffen'!B4,Scheme!$E$3:$BA$128,49,FALSE))</f>
        <v>0</v>
      </c>
      <c r="D3" s="121" t="str">
        <f t="shared" ref="D3:D8" si="0">VLOOKUP(C3,$A$3:$B$19,2,FALSE)</f>
        <v/>
      </c>
      <c r="E3" s="121">
        <f t="shared" ref="E3:E8" si="1">IF(C3=0,0,1)</f>
        <v>0</v>
      </c>
      <c r="F3" s="121">
        <f>IF('gevaarljike stoffen'!B4=0,0,VLOOKUP('gevaarljike stoffen'!B4,Scheme!$E$3:$BD$128,50,FALSE))</f>
        <v>0</v>
      </c>
      <c r="G3" s="121">
        <f>IF('gevaarljike stoffen'!B4=0,0,VLOOKUP('gevaarljike stoffen'!B4,Scheme!$E$3:$BD$128,51,FALSE))</f>
        <v>0</v>
      </c>
      <c r="H3" s="354">
        <f>IF('gevaarljike stoffen'!B4=0,0,VLOOKUP('gevaarljike stoffen'!B4,Scheme!$E$3:$BD$128,52,FALSE))</f>
        <v>0</v>
      </c>
    </row>
    <row r="4" spans="1:8" ht="14.25" customHeight="1" x14ac:dyDescent="0.25">
      <c r="A4" s="345" t="s">
        <v>2241</v>
      </c>
      <c r="B4" s="351" t="s">
        <v>2310</v>
      </c>
      <c r="C4" s="338">
        <f>IF('gevaarljike stoffen'!B5=0,0,VLOOKUP('gevaarljike stoffen'!B5,Scheme!$E$3:$BA$128,49,FALSE))</f>
        <v>0</v>
      </c>
      <c r="D4" s="49" t="str">
        <f t="shared" si="0"/>
        <v/>
      </c>
      <c r="E4" s="49">
        <f t="shared" si="1"/>
        <v>0</v>
      </c>
      <c r="F4" s="49">
        <f>IF('gevaarljike stoffen'!B5=0,0,VLOOKUP('gevaarljike stoffen'!B5,Scheme!$E$3:$BD$128,50,FALSE))</f>
        <v>0</v>
      </c>
      <c r="G4" s="49">
        <f>IF('gevaarljike stoffen'!B5=0,0,VLOOKUP('gevaarljike stoffen'!B5,Scheme!$E$3:$BD$128,51,FALSE))</f>
        <v>0</v>
      </c>
      <c r="H4" s="336">
        <f>IF('gevaarljike stoffen'!B5=0,0,VLOOKUP('gevaarljike stoffen'!B5,Scheme!$E$3:$BD$128,52,FALSE))</f>
        <v>0</v>
      </c>
    </row>
    <row r="5" spans="1:8" ht="14.25" customHeight="1" x14ac:dyDescent="0.25">
      <c r="A5" s="345" t="s">
        <v>2242</v>
      </c>
      <c r="B5" s="351" t="s">
        <v>2311</v>
      </c>
      <c r="C5" s="338">
        <f>IF('gevaarljike stoffen'!B6=0,0,VLOOKUP('gevaarljike stoffen'!B6,Scheme!$E$3:$BA$128,49,FALSE))</f>
        <v>0</v>
      </c>
      <c r="D5" s="49" t="str">
        <f t="shared" si="0"/>
        <v/>
      </c>
      <c r="E5" s="49">
        <f t="shared" si="1"/>
        <v>0</v>
      </c>
      <c r="F5" s="49">
        <f>IF('gevaarljike stoffen'!B6=0,0,VLOOKUP('gevaarljike stoffen'!B6,Scheme!$E$3:$BD$128,50,FALSE))</f>
        <v>0</v>
      </c>
      <c r="G5" s="49">
        <f>IF('gevaarljike stoffen'!B6=0,0,VLOOKUP('gevaarljike stoffen'!B6,Scheme!$E$3:$BD$128,51,FALSE))</f>
        <v>0</v>
      </c>
      <c r="H5" s="336">
        <f>IF('gevaarljike stoffen'!B6=0,0,VLOOKUP('gevaarljike stoffen'!B6,Scheme!$E$3:$BD$128,52,FALSE))</f>
        <v>0</v>
      </c>
    </row>
    <row r="6" spans="1:8" ht="14.25" customHeight="1" x14ac:dyDescent="0.25">
      <c r="A6" s="345" t="s">
        <v>2243</v>
      </c>
      <c r="B6" s="351" t="s">
        <v>2312</v>
      </c>
      <c r="C6" s="338">
        <f>IF('gevaarljike stoffen'!B7=0,0,VLOOKUP('gevaarljike stoffen'!B7,Scheme!$E$3:$BA$128,49,FALSE))</f>
        <v>0</v>
      </c>
      <c r="D6" s="49" t="str">
        <f t="shared" si="0"/>
        <v/>
      </c>
      <c r="E6" s="49">
        <f t="shared" si="1"/>
        <v>0</v>
      </c>
      <c r="F6" s="49">
        <f>IF('gevaarljike stoffen'!B7=0,0,VLOOKUP('gevaarljike stoffen'!B7,Scheme!$E$3:$BD$128,50,FALSE))</f>
        <v>0</v>
      </c>
      <c r="G6" s="49">
        <f>IF('gevaarljike stoffen'!B7=0,0,VLOOKUP('gevaarljike stoffen'!B7,Scheme!$E$3:$BD$128,51,FALSE))</f>
        <v>0</v>
      </c>
      <c r="H6" s="336">
        <f>IF('gevaarljike stoffen'!B7=0,0,VLOOKUP('gevaarljike stoffen'!B7,Scheme!$E$3:$BD$128,52,FALSE))</f>
        <v>0</v>
      </c>
    </row>
    <row r="7" spans="1:8" ht="14.25" customHeight="1" x14ac:dyDescent="0.25">
      <c r="A7" s="345" t="s">
        <v>2244</v>
      </c>
      <c r="B7" s="351" t="s">
        <v>2313</v>
      </c>
      <c r="C7" s="338">
        <f>IF('gevaarljike stoffen'!B8=0,0,VLOOKUP('gevaarljike stoffen'!B8,Scheme!$E$3:$BA$128,49,FALSE))</f>
        <v>0</v>
      </c>
      <c r="D7" s="49" t="str">
        <f t="shared" si="0"/>
        <v/>
      </c>
      <c r="E7" s="49">
        <f t="shared" si="1"/>
        <v>0</v>
      </c>
      <c r="F7" s="49">
        <f>IF('gevaarljike stoffen'!B8=0,0,VLOOKUP('gevaarljike stoffen'!B8,Scheme!$E$3:$BD$128,50,FALSE))</f>
        <v>0</v>
      </c>
      <c r="G7" s="49">
        <f>IF('gevaarljike stoffen'!B8=0,0,VLOOKUP('gevaarljike stoffen'!B8,Scheme!$E$3:$BD$128,51,FALSE))</f>
        <v>0</v>
      </c>
      <c r="H7" s="336">
        <f>IF('gevaarljike stoffen'!B8=0,0,VLOOKUP('gevaarljike stoffen'!B8,Scheme!$E$3:$BD$128,52,FALSE))</f>
        <v>0</v>
      </c>
    </row>
    <row r="8" spans="1:8" ht="14.25" customHeight="1" thickBot="1" x14ac:dyDescent="0.3">
      <c r="A8" s="345" t="s">
        <v>2245</v>
      </c>
      <c r="B8" s="351" t="s">
        <v>2314</v>
      </c>
      <c r="C8" s="348">
        <f>IF('gevaarljike stoffen'!B9=0,0,VLOOKUP('gevaarljike stoffen'!B9,Scheme!$E$3:$BA$128,49,FALSE))</f>
        <v>0</v>
      </c>
      <c r="D8" s="355" t="str">
        <f t="shared" si="0"/>
        <v/>
      </c>
      <c r="E8" s="355">
        <f t="shared" si="1"/>
        <v>0</v>
      </c>
      <c r="F8" s="355">
        <f>IF('gevaarljike stoffen'!B9=0,0,VLOOKUP('gevaarljike stoffen'!B9,Scheme!$E$3:$BD$128,50,FALSE))</f>
        <v>0</v>
      </c>
      <c r="G8" s="355">
        <f>IF('gevaarljike stoffen'!B9=0,0,VLOOKUP('gevaarljike stoffen'!B9,Scheme!$E$3:$BD$128,51,FALSE))</f>
        <v>0</v>
      </c>
      <c r="H8" s="349">
        <f>IF('gevaarljike stoffen'!B9=0,0,VLOOKUP('gevaarljike stoffen'!B9,Scheme!$E$3:$BD$128,52,FALSE))</f>
        <v>0</v>
      </c>
    </row>
    <row r="9" spans="1:8" ht="14.25" customHeight="1" x14ac:dyDescent="0.25">
      <c r="A9" s="345" t="s">
        <v>2246</v>
      </c>
      <c r="B9" s="346" t="s">
        <v>2315</v>
      </c>
    </row>
    <row r="10" spans="1:8" ht="14.25" customHeight="1" x14ac:dyDescent="0.25">
      <c r="A10" s="345" t="s">
        <v>2308</v>
      </c>
      <c r="B10" s="346" t="s">
        <v>2316</v>
      </c>
    </row>
    <row r="11" spans="1:8" ht="14.25" customHeight="1" x14ac:dyDescent="0.25">
      <c r="A11" s="345" t="s">
        <v>2309</v>
      </c>
      <c r="B11" s="346" t="s">
        <v>2317</v>
      </c>
    </row>
    <row r="12" spans="1:8" ht="14.25" customHeight="1" x14ac:dyDescent="0.25">
      <c r="A12" s="345" t="s">
        <v>2248</v>
      </c>
      <c r="B12" s="346" t="s">
        <v>2318</v>
      </c>
    </row>
    <row r="13" spans="1:8" ht="14.25" customHeight="1" x14ac:dyDescent="0.25">
      <c r="A13" s="345" t="s">
        <v>2249</v>
      </c>
      <c r="B13" s="346" t="s">
        <v>2319</v>
      </c>
    </row>
    <row r="14" spans="1:8" ht="14.25" customHeight="1" x14ac:dyDescent="0.25">
      <c r="A14" s="345" t="s">
        <v>2250</v>
      </c>
      <c r="B14" s="347" t="s">
        <v>2323</v>
      </c>
    </row>
    <row r="15" spans="1:8" ht="14.25" customHeight="1" x14ac:dyDescent="0.25">
      <c r="A15" s="345" t="s">
        <v>2251</v>
      </c>
      <c r="B15" s="347" t="s">
        <v>2324</v>
      </c>
    </row>
    <row r="16" spans="1:8" ht="14.25" customHeight="1" x14ac:dyDescent="0.25">
      <c r="A16" s="345" t="s">
        <v>2252</v>
      </c>
      <c r="B16" s="346" t="s">
        <v>2320</v>
      </c>
    </row>
    <row r="17" spans="1:2" ht="14.25" customHeight="1" x14ac:dyDescent="0.25">
      <c r="A17" s="345" t="s">
        <v>2253</v>
      </c>
      <c r="B17" s="347" t="s">
        <v>2322</v>
      </c>
    </row>
    <row r="18" spans="1:2" ht="14.25" customHeight="1" x14ac:dyDescent="0.25">
      <c r="A18" s="338" t="s">
        <v>2247</v>
      </c>
      <c r="B18" s="347" t="s">
        <v>2345</v>
      </c>
    </row>
    <row r="19" spans="1:2" ht="15.75" thickBot="1" x14ac:dyDescent="0.3">
      <c r="A19" s="348">
        <v>0</v>
      </c>
      <c r="B19" s="349" t="str">
        <f>""</f>
        <v/>
      </c>
    </row>
    <row r="24" spans="1:2" x14ac:dyDescent="0.25">
      <c r="B24" s="85" t="s">
        <v>2348</v>
      </c>
    </row>
    <row r="25" spans="1:2" x14ac:dyDescent="0.25">
      <c r="B25" s="343" t="s">
        <v>2347</v>
      </c>
    </row>
  </sheetData>
  <mergeCells count="2">
    <mergeCell ref="A2:B2"/>
    <mergeCell ref="C2:D2"/>
  </mergeCells>
  <conditionalFormatting sqref="C1">
    <cfRule type="cellIs" dxfId="11" priority="1" operator="equal">
      <formula>"non dangerous waste"</formula>
    </cfRule>
    <cfRule type="cellIs" dxfId="10" priority="2" operator="equal">
      <formula>"possible dangerous waste"</formula>
    </cfRule>
  </conditionalFormatting>
  <hyperlinks>
    <hyperlink ref="B25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/>
  <dimension ref="A1:AN60"/>
  <sheetViews>
    <sheetView view="pageBreakPreview" zoomScaleNormal="100" zoomScaleSheetLayoutView="100" workbookViewId="0">
      <selection activeCell="AL2" sqref="AL2:AN2"/>
    </sheetView>
  </sheetViews>
  <sheetFormatPr defaultRowHeight="15" x14ac:dyDescent="0.25"/>
  <cols>
    <col min="1" max="3" width="2.85546875" customWidth="1"/>
    <col min="4" max="4" width="2" customWidth="1"/>
    <col min="5" max="10" width="2.85546875" customWidth="1"/>
    <col min="11" max="11" width="2.140625" customWidth="1"/>
    <col min="12" max="29" width="2.85546875" customWidth="1"/>
    <col min="30" max="30" width="6.28515625" customWidth="1"/>
    <col min="31" max="33" width="9.140625" hidden="1" customWidth="1"/>
    <col min="34" max="34" width="9.140625" style="4" hidden="1" customWidth="1"/>
    <col min="35" max="35" width="9.140625" hidden="1" customWidth="1"/>
    <col min="36" max="36" width="23" hidden="1" customWidth="1"/>
    <col min="37" max="37" width="21.42578125" hidden="1" customWidth="1"/>
    <col min="38" max="39" width="9.140625" customWidth="1"/>
  </cols>
  <sheetData>
    <row r="1" spans="1:40" ht="18.75" x14ac:dyDescent="0.3">
      <c r="A1" s="620" t="s">
        <v>2411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2"/>
    </row>
    <row r="2" spans="1:40" x14ac:dyDescent="0.25">
      <c r="A2" s="625" t="s">
        <v>2356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7"/>
      <c r="AL2" s="644" t="s">
        <v>2472</v>
      </c>
      <c r="AM2" s="644"/>
      <c r="AN2" s="644"/>
    </row>
    <row r="3" spans="1:40" x14ac:dyDescent="0.25">
      <c r="A3" s="628" t="s">
        <v>2357</v>
      </c>
      <c r="B3" s="629"/>
      <c r="C3" s="630"/>
      <c r="D3" s="604">
        <f>'hoofdformulier veilig werken'!D3:AD3</f>
        <v>0</v>
      </c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6"/>
      <c r="AH3" s="364"/>
    </row>
    <row r="4" spans="1:40" x14ac:dyDescent="0.25">
      <c r="A4" s="628" t="s">
        <v>2358</v>
      </c>
      <c r="B4" s="629"/>
      <c r="C4" s="629"/>
      <c r="D4" s="629"/>
      <c r="E4" s="629"/>
      <c r="F4" s="630"/>
      <c r="G4" s="605" t="str">
        <f>'hoofdformulier veilig werken'!G4:AD4</f>
        <v xml:space="preserve"> </v>
      </c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6"/>
      <c r="AH4" s="364"/>
    </row>
    <row r="5" spans="1:40" x14ac:dyDescent="0.25">
      <c r="A5" s="358"/>
      <c r="B5" s="359"/>
      <c r="C5" s="359"/>
      <c r="D5" s="359"/>
      <c r="E5" s="359"/>
      <c r="F5" s="360"/>
      <c r="G5" s="605" t="str">
        <f>'hoofdformulier veilig werken'!G5:AD5</f>
        <v xml:space="preserve"> </v>
      </c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6"/>
      <c r="AH5" s="364"/>
    </row>
    <row r="6" spans="1:40" x14ac:dyDescent="0.25">
      <c r="A6" s="361"/>
      <c r="B6" s="362"/>
      <c r="C6" s="362"/>
      <c r="D6" s="362"/>
      <c r="E6" s="362"/>
      <c r="F6" s="363"/>
      <c r="G6" s="605" t="str">
        <f>'hoofdformulier veilig werken'!G6:AD6</f>
        <v xml:space="preserve"> </v>
      </c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6"/>
      <c r="AH6" s="364"/>
    </row>
    <row r="7" spans="1:40" x14ac:dyDescent="0.25">
      <c r="A7" s="601" t="s">
        <v>2362</v>
      </c>
      <c r="B7" s="602"/>
      <c r="C7" s="602"/>
      <c r="D7" s="602"/>
      <c r="E7" s="602"/>
      <c r="F7" s="602"/>
      <c r="G7" s="602"/>
      <c r="H7" s="602"/>
      <c r="I7" s="602"/>
      <c r="J7" s="603"/>
      <c r="K7" s="604">
        <f>'hoofdformulier veilig werken'!K7:AD7</f>
        <v>0</v>
      </c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6"/>
      <c r="AH7" s="364"/>
    </row>
    <row r="8" spans="1:40" x14ac:dyDescent="0.25">
      <c r="A8" s="601" t="s">
        <v>2534</v>
      </c>
      <c r="B8" s="602"/>
      <c r="C8" s="602"/>
      <c r="D8" s="602"/>
      <c r="E8" s="603"/>
      <c r="F8" s="615">
        <f>'hoofdformulier veilig werken'!F8:I8</f>
        <v>0</v>
      </c>
      <c r="G8" s="616"/>
      <c r="H8" s="616"/>
      <c r="I8" s="617"/>
      <c r="J8" s="613" t="s">
        <v>2360</v>
      </c>
      <c r="K8" s="614"/>
      <c r="L8" s="611">
        <f>'hoofdformulier veilig werken'!L8:M8</f>
        <v>0</v>
      </c>
      <c r="M8" s="612"/>
      <c r="N8" s="618" t="s">
        <v>2363</v>
      </c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9"/>
      <c r="AH8" s="364"/>
    </row>
    <row r="9" spans="1:40" x14ac:dyDescent="0.25">
      <c r="A9" s="601" t="s">
        <v>2361</v>
      </c>
      <c r="B9" s="602"/>
      <c r="C9" s="602"/>
      <c r="D9" s="602"/>
      <c r="E9" s="603"/>
      <c r="F9" s="615">
        <f>'hoofdformulier veilig werken'!F9:I9</f>
        <v>0</v>
      </c>
      <c r="G9" s="616"/>
      <c r="H9" s="616"/>
      <c r="I9" s="617"/>
      <c r="J9" s="613" t="s">
        <v>2360</v>
      </c>
      <c r="K9" s="614"/>
      <c r="L9" s="611">
        <f>'hoofdformulier veilig werken'!L9:M9</f>
        <v>0</v>
      </c>
      <c r="M9" s="612"/>
      <c r="N9" s="598">
        <f>'hoofdformulier veilig werken'!N9:AD9</f>
        <v>0</v>
      </c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600"/>
      <c r="AH9" s="364"/>
    </row>
    <row r="10" spans="1:40" x14ac:dyDescent="0.25">
      <c r="A10" s="608" t="s">
        <v>2413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10"/>
      <c r="AE10">
        <f>IF(AE11,1,0)</f>
        <v>0</v>
      </c>
      <c r="AF10">
        <f>IF(AF11,1,0)</f>
        <v>0</v>
      </c>
      <c r="AG10">
        <f>IF(AG11,1,0)</f>
        <v>1</v>
      </c>
      <c r="AH10" s="364">
        <f>SUM(AE10:AG10)+AH12</f>
        <v>1</v>
      </c>
    </row>
    <row r="11" spans="1:40" s="379" customFormat="1" ht="15" customHeight="1" x14ac:dyDescent="0.25">
      <c r="A11" s="382"/>
      <c r="B11" s="383"/>
      <c r="C11" s="383"/>
      <c r="D11" s="383"/>
      <c r="E11" s="383"/>
      <c r="F11" s="384" t="s">
        <v>2414</v>
      </c>
      <c r="G11" s="383"/>
      <c r="H11" s="383"/>
      <c r="I11" s="383"/>
      <c r="J11" s="383"/>
      <c r="K11" s="383"/>
      <c r="L11" s="383"/>
      <c r="M11" s="383"/>
      <c r="N11" s="383"/>
      <c r="O11" s="384" t="s">
        <v>2415</v>
      </c>
      <c r="P11" s="383"/>
      <c r="Q11" s="383"/>
      <c r="R11" s="383"/>
      <c r="S11" s="383"/>
      <c r="T11" s="383"/>
      <c r="U11" s="383"/>
      <c r="V11" s="383"/>
      <c r="W11" s="383"/>
      <c r="X11" s="384" t="s">
        <v>2416</v>
      </c>
      <c r="Y11" s="383"/>
      <c r="Z11" s="385" t="str">
        <f>IF(AH10&gt;1,"slechts 1 keuze!","")</f>
        <v/>
      </c>
      <c r="AA11" s="383"/>
      <c r="AB11" s="383"/>
      <c r="AC11" s="383"/>
      <c r="AD11" s="386"/>
      <c r="AE11" s="379" t="b">
        <v>0</v>
      </c>
      <c r="AF11" s="379" t="b">
        <v>0</v>
      </c>
      <c r="AG11" s="379" t="b">
        <v>1</v>
      </c>
      <c r="AH11" s="380"/>
    </row>
    <row r="12" spans="1:40" s="379" customFormat="1" ht="15" customHeight="1" x14ac:dyDescent="0.25">
      <c r="A12" s="382"/>
      <c r="B12" s="383"/>
      <c r="C12" s="383"/>
      <c r="D12" s="383"/>
      <c r="E12" s="383"/>
      <c r="F12" s="384"/>
      <c r="G12" s="383"/>
      <c r="H12" s="383"/>
      <c r="I12" s="383"/>
      <c r="J12" s="383"/>
      <c r="K12" s="383"/>
      <c r="L12" s="383"/>
      <c r="M12" s="383"/>
      <c r="N12" s="383"/>
      <c r="O12" s="384"/>
      <c r="P12" s="383"/>
      <c r="Q12" s="383"/>
      <c r="R12" s="383"/>
      <c r="S12" s="383"/>
      <c r="T12" s="383"/>
      <c r="U12" s="383"/>
      <c r="V12" s="383"/>
      <c r="W12" s="383"/>
      <c r="X12" s="384" t="s">
        <v>2444</v>
      </c>
      <c r="Y12" s="383"/>
      <c r="Z12" s="385"/>
      <c r="AA12" s="383"/>
      <c r="AB12" s="383"/>
      <c r="AC12" s="383"/>
      <c r="AD12" s="386"/>
      <c r="AG12" s="379" t="b">
        <v>0</v>
      </c>
      <c r="AH12">
        <f>IF(AG12,1,0)</f>
        <v>0</v>
      </c>
    </row>
    <row r="13" spans="1:40" x14ac:dyDescent="0.25">
      <c r="A13" s="608" t="s">
        <v>2425</v>
      </c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10"/>
      <c r="AH13" s="364"/>
    </row>
    <row r="14" spans="1:40" ht="15.75" x14ac:dyDescent="0.25">
      <c r="A14" s="431" t="s">
        <v>2418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60"/>
      <c r="AH14" s="364"/>
    </row>
    <row r="15" spans="1:40" x14ac:dyDescent="0.25">
      <c r="A15" s="358"/>
      <c r="B15" s="359"/>
      <c r="C15" s="359"/>
      <c r="D15" s="359"/>
      <c r="E15" s="430" t="str">
        <f>"þ"</f>
        <v>þ</v>
      </c>
      <c r="F15" s="359" t="s">
        <v>2420</v>
      </c>
      <c r="G15" s="359"/>
      <c r="H15" s="359"/>
      <c r="I15" s="359"/>
      <c r="J15" s="359"/>
      <c r="K15" s="359"/>
      <c r="L15" s="359"/>
      <c r="M15" s="359"/>
      <c r="N15" s="430" t="str">
        <f>IF(OR(AF11:AG12),"þ","o")</f>
        <v>þ</v>
      </c>
      <c r="O15" s="359" t="s">
        <v>2421</v>
      </c>
      <c r="P15" s="359"/>
      <c r="Q15" s="359"/>
      <c r="R15" s="359"/>
      <c r="S15" s="359"/>
      <c r="T15" s="359"/>
      <c r="U15" s="359"/>
      <c r="V15" s="359"/>
      <c r="W15" s="430" t="str">
        <f>IF(AG12,"þ","o")</f>
        <v>o</v>
      </c>
      <c r="X15" s="359" t="s">
        <v>2441</v>
      </c>
      <c r="Y15" s="359"/>
      <c r="Z15" s="359"/>
      <c r="AA15" s="359"/>
      <c r="AB15" s="359"/>
      <c r="AC15" s="359"/>
      <c r="AD15" s="360"/>
      <c r="AH15" s="364"/>
    </row>
    <row r="16" spans="1:40" ht="11.25" customHeight="1" x14ac:dyDescent="0.25">
      <c r="A16" s="388"/>
      <c r="B16" s="374"/>
      <c r="C16" s="374"/>
      <c r="D16" s="374"/>
      <c r="E16" s="389" t="s">
        <v>2427</v>
      </c>
      <c r="F16" s="389"/>
      <c r="G16" s="389"/>
      <c r="H16" s="374"/>
      <c r="I16" s="374"/>
      <c r="J16" s="374"/>
      <c r="K16" s="374"/>
      <c r="L16" s="374"/>
      <c r="M16" s="374"/>
      <c r="N16" s="374" t="s">
        <v>2433</v>
      </c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90"/>
      <c r="AH16" s="364"/>
    </row>
    <row r="17" spans="1:37" ht="11.25" customHeight="1" x14ac:dyDescent="0.25">
      <c r="A17" s="388"/>
      <c r="B17" s="374"/>
      <c r="C17" s="374"/>
      <c r="D17" s="374"/>
      <c r="E17" s="389" t="s">
        <v>2426</v>
      </c>
      <c r="F17" s="389"/>
      <c r="G17" s="389"/>
      <c r="H17" s="374"/>
      <c r="I17" s="374"/>
      <c r="J17" s="374"/>
      <c r="K17" s="374"/>
      <c r="L17" s="374"/>
      <c r="M17" s="374"/>
      <c r="N17" s="374" t="s">
        <v>2428</v>
      </c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90"/>
      <c r="AH17" s="364"/>
    </row>
    <row r="18" spans="1:37" ht="15.75" x14ac:dyDescent="0.25">
      <c r="A18" s="431" t="s">
        <v>2419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60"/>
      <c r="AH18" s="364"/>
    </row>
    <row r="19" spans="1:37" x14ac:dyDescent="0.25">
      <c r="A19" s="358"/>
      <c r="B19" s="359"/>
      <c r="C19" s="359"/>
      <c r="D19" s="359"/>
      <c r="E19" s="430" t="str">
        <f>IF(NOT(OR(AF11:AG12)),"þ","o")</f>
        <v>o</v>
      </c>
      <c r="F19" s="359" t="s">
        <v>2424</v>
      </c>
      <c r="G19" s="359"/>
      <c r="H19" s="359"/>
      <c r="I19" s="359"/>
      <c r="J19" s="359"/>
      <c r="K19" s="359"/>
      <c r="L19" s="359"/>
      <c r="M19" s="359"/>
      <c r="N19" s="430" t="str">
        <f>IF(OR(AF11:AG12),"þ","o")</f>
        <v>þ</v>
      </c>
      <c r="O19" s="359" t="s">
        <v>2422</v>
      </c>
      <c r="P19" s="359"/>
      <c r="Q19" s="359"/>
      <c r="R19" s="359"/>
      <c r="S19" s="359"/>
      <c r="T19" s="359"/>
      <c r="U19" s="359"/>
      <c r="V19" s="359"/>
      <c r="W19" s="430" t="str">
        <f>IF(OR(AG11:AG12),"þ","o")</f>
        <v>þ</v>
      </c>
      <c r="X19" s="359" t="s">
        <v>2423</v>
      </c>
      <c r="Y19" s="359"/>
      <c r="Z19" s="359"/>
      <c r="AA19" s="359"/>
      <c r="AB19" s="359"/>
      <c r="AC19" s="359"/>
      <c r="AD19" s="360"/>
      <c r="AH19" s="364"/>
    </row>
    <row r="20" spans="1:37" ht="11.25" customHeight="1" x14ac:dyDescent="0.25">
      <c r="A20" s="358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89" t="s">
        <v>2429</v>
      </c>
      <c r="O20" s="389"/>
      <c r="P20" s="359"/>
      <c r="Q20" s="359"/>
      <c r="R20" s="359"/>
      <c r="S20" s="359"/>
      <c r="T20" s="359"/>
      <c r="U20" s="359"/>
      <c r="V20" s="359"/>
      <c r="W20" s="389" t="s">
        <v>2431</v>
      </c>
      <c r="X20" s="359"/>
      <c r="Y20" s="359"/>
      <c r="Z20" s="359"/>
      <c r="AA20" s="359"/>
      <c r="AB20" s="359"/>
      <c r="AC20" s="359"/>
      <c r="AD20" s="360"/>
      <c r="AH20" s="364"/>
    </row>
    <row r="21" spans="1:37" ht="11.25" customHeight="1" x14ac:dyDescent="0.25">
      <c r="A21" s="358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89" t="s">
        <v>2430</v>
      </c>
      <c r="O21" s="389"/>
      <c r="P21" s="359"/>
      <c r="Q21" s="359"/>
      <c r="R21" s="359"/>
      <c r="S21" s="359"/>
      <c r="T21" s="359"/>
      <c r="U21" s="359"/>
      <c r="V21" s="359"/>
      <c r="W21" s="389" t="s">
        <v>2432</v>
      </c>
      <c r="X21" s="359"/>
      <c r="Y21" s="359"/>
      <c r="Z21" s="359"/>
      <c r="AA21" s="359"/>
      <c r="AB21" s="359"/>
      <c r="AC21" s="359"/>
      <c r="AD21" s="360"/>
      <c r="AH21" s="364"/>
    </row>
    <row r="22" spans="1:37" ht="15" customHeight="1" x14ac:dyDescent="0.25">
      <c r="A22" s="431" t="s">
        <v>2453</v>
      </c>
      <c r="B22" s="359"/>
      <c r="C22" s="359"/>
      <c r="D22" s="359"/>
      <c r="E22" s="376"/>
      <c r="F22" s="359"/>
      <c r="G22" s="359"/>
      <c r="H22" s="359"/>
      <c r="I22" s="359"/>
      <c r="J22" s="359"/>
      <c r="K22" s="359"/>
      <c r="L22" s="359"/>
      <c r="M22" s="359"/>
      <c r="N22" s="389"/>
      <c r="O22" s="389"/>
      <c r="P22" s="359"/>
      <c r="Q22" s="359"/>
      <c r="R22" s="359"/>
      <c r="S22" s="359"/>
      <c r="T22" s="359"/>
      <c r="U22" s="359"/>
      <c r="V22" s="359"/>
      <c r="W22" s="389"/>
      <c r="X22" s="359"/>
      <c r="Y22" s="359"/>
      <c r="Z22" s="359"/>
      <c r="AA22" s="359"/>
      <c r="AB22" s="359"/>
      <c r="AC22" s="359"/>
      <c r="AD22" s="360"/>
      <c r="AH22" s="364"/>
    </row>
    <row r="23" spans="1:37" ht="15" customHeight="1" x14ac:dyDescent="0.25">
      <c r="A23" s="387"/>
      <c r="B23" s="359"/>
      <c r="C23" s="359"/>
      <c r="D23" s="359"/>
      <c r="E23" s="376" t="str">
        <f>IF(OR('hoofdformulier veilig werken'!AF14,'hoofdformulier veilig werken'!AE16),"þ","o")</f>
        <v>o</v>
      </c>
      <c r="F23" s="359"/>
      <c r="G23" s="359"/>
      <c r="H23" s="359"/>
      <c r="I23" s="359"/>
      <c r="J23" s="359"/>
      <c r="K23" s="359"/>
      <c r="L23" s="359"/>
      <c r="M23" s="359"/>
      <c r="N23" s="389"/>
      <c r="O23" s="389"/>
      <c r="P23" s="359"/>
      <c r="Q23" s="359"/>
      <c r="R23" s="359"/>
      <c r="S23" s="359"/>
      <c r="T23" s="359"/>
      <c r="U23" s="359"/>
      <c r="V23" s="359"/>
      <c r="W23" s="389"/>
      <c r="X23" s="359"/>
      <c r="Y23" s="359"/>
      <c r="Z23" s="359"/>
      <c r="AA23" s="359"/>
      <c r="AB23" s="359"/>
      <c r="AC23" s="359"/>
      <c r="AD23" s="360"/>
      <c r="AH23" s="364"/>
    </row>
    <row r="24" spans="1:37" x14ac:dyDescent="0.25">
      <c r="A24" s="608" t="s">
        <v>2438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10"/>
      <c r="AG24">
        <f>SUM(AG26:AG36)</f>
        <v>1</v>
      </c>
      <c r="AH24">
        <f>SUM(AH26:AH33)</f>
        <v>1</v>
      </c>
    </row>
    <row r="25" spans="1:37" ht="15.75" x14ac:dyDescent="0.25">
      <c r="A25" s="391"/>
      <c r="B25" s="381"/>
      <c r="C25" s="381"/>
      <c r="D25" s="381"/>
      <c r="E25" s="432" t="s">
        <v>2443</v>
      </c>
      <c r="F25" s="381"/>
      <c r="G25" s="381"/>
      <c r="H25" s="385"/>
      <c r="I25" s="434" t="str">
        <f>IF(AH24&gt;1,"slechts 1 keuze!","")</f>
        <v/>
      </c>
      <c r="J25" s="381"/>
      <c r="K25" s="381"/>
      <c r="L25" s="381"/>
      <c r="M25" s="381"/>
      <c r="N25" s="433" t="s">
        <v>2442</v>
      </c>
      <c r="O25" s="381"/>
      <c r="P25" s="381"/>
      <c r="Q25" s="385"/>
      <c r="R25" s="434" t="str">
        <f>IF(AG24&gt;1,"slechts 1 keuze!","")</f>
        <v/>
      </c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92"/>
      <c r="AH25"/>
    </row>
    <row r="26" spans="1:37" x14ac:dyDescent="0.25">
      <c r="A26" s="358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 t="s">
        <v>2452</v>
      </c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60"/>
      <c r="AE26" t="b">
        <v>0</v>
      </c>
      <c r="AG26">
        <f>IF(AE26,1,0)</f>
        <v>0</v>
      </c>
      <c r="AH26">
        <f>IF(AF26,1,0)</f>
        <v>0</v>
      </c>
    </row>
    <row r="27" spans="1:37" ht="7.5" customHeight="1" x14ac:dyDescent="0.25">
      <c r="A27" s="358"/>
      <c r="B27" s="359"/>
      <c r="C27" s="359"/>
      <c r="D27" s="359"/>
      <c r="E27" s="385" t="str">
        <f>IF(M26&gt;1,"slechts 1 keuze!","")</f>
        <v/>
      </c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60"/>
      <c r="AG27">
        <f t="shared" ref="AG27:AG36" si="0">IF(AE27,1,0)</f>
        <v>0</v>
      </c>
      <c r="AH27">
        <f t="shared" ref="AH27:AH33" si="1">IF(AF27,1,0)</f>
        <v>0</v>
      </c>
    </row>
    <row r="28" spans="1:37" x14ac:dyDescent="0.25">
      <c r="A28" s="358"/>
      <c r="B28" s="359"/>
      <c r="C28" s="359"/>
      <c r="D28" s="359"/>
      <c r="E28" s="359"/>
      <c r="F28" s="359" t="s">
        <v>2439</v>
      </c>
      <c r="G28" s="359"/>
      <c r="H28" s="359"/>
      <c r="I28" s="359"/>
      <c r="J28" s="359"/>
      <c r="K28" s="359"/>
      <c r="L28" s="359"/>
      <c r="M28" s="359"/>
      <c r="N28" s="359"/>
      <c r="O28" s="359" t="s">
        <v>2434</v>
      </c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60"/>
      <c r="AE28" t="b">
        <v>1</v>
      </c>
      <c r="AF28" t="b">
        <v>1</v>
      </c>
      <c r="AG28">
        <f t="shared" si="0"/>
        <v>1</v>
      </c>
      <c r="AH28">
        <f t="shared" si="1"/>
        <v>1</v>
      </c>
    </row>
    <row r="29" spans="1:37" ht="7.5" customHeight="1" x14ac:dyDescent="0.25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60"/>
      <c r="AG29">
        <f t="shared" si="0"/>
        <v>0</v>
      </c>
      <c r="AH29">
        <f t="shared" si="1"/>
        <v>0</v>
      </c>
    </row>
    <row r="30" spans="1:37" x14ac:dyDescent="0.25">
      <c r="A30" s="358"/>
      <c r="B30" s="359"/>
      <c r="C30" s="359"/>
      <c r="D30" s="359"/>
      <c r="E30" s="359"/>
      <c r="F30" s="359" t="s">
        <v>2440</v>
      </c>
      <c r="G30" s="359"/>
      <c r="H30" s="359"/>
      <c r="I30" s="359"/>
      <c r="J30" s="359"/>
      <c r="K30" s="359"/>
      <c r="L30" s="359"/>
      <c r="M30" s="359"/>
      <c r="N30" s="359"/>
      <c r="O30" s="359" t="s">
        <v>2435</v>
      </c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60"/>
      <c r="AE30" t="b">
        <v>0</v>
      </c>
      <c r="AF30" t="b">
        <v>0</v>
      </c>
      <c r="AG30">
        <f t="shared" si="0"/>
        <v>0</v>
      </c>
      <c r="AH30">
        <f t="shared" si="1"/>
        <v>0</v>
      </c>
      <c r="AJ30" t="s">
        <v>2455</v>
      </c>
      <c r="AK30" t="s">
        <v>2454</v>
      </c>
    </row>
    <row r="31" spans="1:37" ht="11.25" customHeight="1" x14ac:dyDescent="0.25">
      <c r="A31" s="358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93"/>
      <c r="N31" s="651" t="s">
        <v>2450</v>
      </c>
      <c r="O31" s="651"/>
      <c r="P31" s="651"/>
      <c r="Q31" s="651"/>
      <c r="R31" s="651" t="s">
        <v>2445</v>
      </c>
      <c r="S31" s="651"/>
      <c r="T31" s="651" t="s">
        <v>2446</v>
      </c>
      <c r="U31" s="651"/>
      <c r="V31" s="359"/>
      <c r="W31" s="359"/>
      <c r="X31" s="359"/>
      <c r="Y31" s="359"/>
      <c r="Z31" s="359"/>
      <c r="AA31" s="359"/>
      <c r="AB31" s="359"/>
      <c r="AC31" s="359"/>
      <c r="AD31" s="360"/>
      <c r="AG31">
        <f t="shared" si="0"/>
        <v>0</v>
      </c>
      <c r="AH31">
        <f t="shared" si="1"/>
        <v>0</v>
      </c>
      <c r="AJ31" t="b">
        <f>NOT(AND(AF28,OR(AE30:AE36)))</f>
        <v>1</v>
      </c>
      <c r="AK31" t="b">
        <f>NOT(AND(AE11,OR(AE26:AE36)))</f>
        <v>1</v>
      </c>
    </row>
    <row r="32" spans="1:37" ht="11.25" customHeight="1" x14ac:dyDescent="0.25">
      <c r="A32" s="358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93"/>
      <c r="N32" s="651" t="s">
        <v>2447</v>
      </c>
      <c r="O32" s="651"/>
      <c r="P32" s="651"/>
      <c r="Q32" s="651"/>
      <c r="R32" s="651" t="s">
        <v>2473</v>
      </c>
      <c r="S32" s="651"/>
      <c r="T32" s="651" t="s">
        <v>2476</v>
      </c>
      <c r="U32" s="651"/>
      <c r="V32" s="359"/>
      <c r="W32" s="359"/>
      <c r="X32" s="359" t="s">
        <v>2436</v>
      </c>
      <c r="Y32" s="359"/>
      <c r="Z32" s="359"/>
      <c r="AA32" s="359"/>
      <c r="AB32" s="359"/>
      <c r="AC32" s="359"/>
      <c r="AD32" s="360"/>
      <c r="AE32" t="b">
        <v>0</v>
      </c>
      <c r="AG32">
        <f t="shared" si="0"/>
        <v>0</v>
      </c>
      <c r="AH32">
        <f t="shared" si="1"/>
        <v>0</v>
      </c>
      <c r="AK32" t="b">
        <f>NOT(AND(AF11,OR(AE32:AE36)))</f>
        <v>1</v>
      </c>
    </row>
    <row r="33" spans="1:37" ht="11.25" customHeight="1" x14ac:dyDescent="0.25">
      <c r="A33" s="358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93"/>
      <c r="N33" s="651" t="s">
        <v>2448</v>
      </c>
      <c r="O33" s="651"/>
      <c r="P33" s="651"/>
      <c r="Q33" s="651"/>
      <c r="R33" s="651" t="s">
        <v>2474</v>
      </c>
      <c r="S33" s="651"/>
      <c r="T33" s="651" t="s">
        <v>2477</v>
      </c>
      <c r="U33" s="651"/>
      <c r="V33" s="359"/>
      <c r="W33" s="359"/>
      <c r="X33" s="359"/>
      <c r="Y33" s="359"/>
      <c r="Z33" s="359"/>
      <c r="AA33" s="359"/>
      <c r="AB33" s="359"/>
      <c r="AC33" s="359"/>
      <c r="AD33" s="360"/>
      <c r="AG33">
        <f t="shared" si="0"/>
        <v>0</v>
      </c>
      <c r="AH33">
        <f t="shared" si="1"/>
        <v>0</v>
      </c>
      <c r="AK33" t="b">
        <f>NOT(AND(AG11,AE36))</f>
        <v>1</v>
      </c>
    </row>
    <row r="34" spans="1:37" ht="11.25" customHeight="1" x14ac:dyDescent="0.25">
      <c r="A34" s="358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93"/>
      <c r="N34" s="651" t="s">
        <v>2449</v>
      </c>
      <c r="O34" s="651"/>
      <c r="P34" s="651"/>
      <c r="Q34" s="651"/>
      <c r="R34" s="651" t="s">
        <v>2475</v>
      </c>
      <c r="S34" s="651"/>
      <c r="T34" s="651" t="s">
        <v>2478</v>
      </c>
      <c r="U34" s="651"/>
      <c r="V34" s="359"/>
      <c r="W34" s="359"/>
      <c r="X34" s="359" t="s">
        <v>2437</v>
      </c>
      <c r="Y34" s="359"/>
      <c r="Z34" s="359"/>
      <c r="AA34" s="359"/>
      <c r="AB34" s="359"/>
      <c r="AC34" s="359"/>
      <c r="AD34" s="360"/>
      <c r="AE34" t="b">
        <v>0</v>
      </c>
      <c r="AG34">
        <f t="shared" si="0"/>
        <v>0</v>
      </c>
      <c r="AH34" s="364"/>
      <c r="AK34" s="85" t="b">
        <f>AND(AK31:AK33,AH10=1)</f>
        <v>1</v>
      </c>
    </row>
    <row r="35" spans="1:37" ht="11.25" customHeight="1" x14ac:dyDescent="0.25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93"/>
      <c r="N35" s="394"/>
      <c r="O35" s="394"/>
      <c r="P35" s="394"/>
      <c r="Q35" s="394"/>
      <c r="R35" s="394"/>
      <c r="S35" s="394"/>
      <c r="T35" s="394"/>
      <c r="U35" s="394"/>
      <c r="V35" s="359"/>
      <c r="W35" s="359"/>
      <c r="X35" s="359"/>
      <c r="Y35" s="359"/>
      <c r="Z35" s="359"/>
      <c r="AA35" s="359"/>
      <c r="AB35" s="359"/>
      <c r="AC35" s="359"/>
      <c r="AD35" s="360"/>
      <c r="AG35">
        <f t="shared" si="0"/>
        <v>0</v>
      </c>
      <c r="AH35" s="364"/>
    </row>
    <row r="36" spans="1:37" ht="11.25" customHeight="1" x14ac:dyDescent="0.25">
      <c r="A36" s="358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93"/>
      <c r="N36" s="394"/>
      <c r="O36" s="394"/>
      <c r="P36" s="394"/>
      <c r="Q36" s="394"/>
      <c r="R36" s="394"/>
      <c r="S36" s="394"/>
      <c r="T36" s="394"/>
      <c r="U36" s="394"/>
      <c r="V36" s="359"/>
      <c r="W36" s="359"/>
      <c r="X36" s="359" t="s">
        <v>2451</v>
      </c>
      <c r="Y36" s="359"/>
      <c r="Z36" s="359"/>
      <c r="AA36" s="359"/>
      <c r="AB36" s="359"/>
      <c r="AC36" s="359"/>
      <c r="AD36" s="360"/>
      <c r="AE36" t="b">
        <v>0</v>
      </c>
      <c r="AG36">
        <f t="shared" si="0"/>
        <v>0</v>
      </c>
      <c r="AH36" s="364"/>
    </row>
    <row r="37" spans="1:37" ht="11.25" customHeight="1" x14ac:dyDescent="0.25">
      <c r="A37" s="592" t="str">
        <f>IF(NOT(AK34),"WERK NIET TOEGELATEN MET UW BEKWAAMHEID",IF(NOT(AJ31),"WERK NIET TOEGELATEN IN NATTE OMGEVING","WERK TOEGELATEN MITS NALEVEN VOLGENDE VOORZORGSMAATREGELEN"))</f>
        <v>WERK TOEGELATEN MITS NALEVEN VOLGENDE VOORZORGSMAATREGELEN</v>
      </c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4"/>
      <c r="AH37" s="364"/>
      <c r="AK37" t="b">
        <f>AND($AK$34,$AJ$31)</f>
        <v>1</v>
      </c>
    </row>
    <row r="38" spans="1:37" x14ac:dyDescent="0.25">
      <c r="A38" s="595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7"/>
      <c r="AH38" s="364"/>
    </row>
    <row r="39" spans="1:37" ht="9.75" customHeight="1" x14ac:dyDescent="0.25">
      <c r="A39" s="655" t="str">
        <f>IF(AI39=1,AH39,VLOOKUP(AI40,AG40:AH48,2,FALSE))</f>
        <v>Respecteer de 8 gouden regels om de installaties spanningsloos te  maken en houden</v>
      </c>
      <c r="B39" s="656"/>
      <c r="C39" s="656"/>
      <c r="D39" s="656"/>
      <c r="E39" s="656"/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7"/>
      <c r="AG39" s="395">
        <v>1</v>
      </c>
      <c r="AH39" s="395" t="s">
        <v>2457</v>
      </c>
      <c r="AI39">
        <f>IF(OR(AE40:AE48)=FALSE,1,9999)</f>
        <v>9999</v>
      </c>
    </row>
    <row r="40" spans="1:37" ht="9.75" customHeight="1" x14ac:dyDescent="0.25">
      <c r="A40" s="655"/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7"/>
      <c r="AE40" t="b">
        <f>IF(E23="þ",TRUE,FALSE)</f>
        <v>0</v>
      </c>
      <c r="AF40">
        <f>IF(AE40,AG40,9999)</f>
        <v>9999</v>
      </c>
      <c r="AG40" s="358">
        <v>2</v>
      </c>
      <c r="AH40" s="358" t="s">
        <v>2456</v>
      </c>
      <c r="AI40">
        <f>SMALL($AF$40:$AF$48,ROW()-ROW(AF$40)+1)</f>
        <v>10</v>
      </c>
    </row>
    <row r="41" spans="1:37" ht="9.75" customHeight="1" x14ac:dyDescent="0.25">
      <c r="A41" s="645" t="str">
        <f>VLOOKUP(AI41,$AG$40:$AH$49,2,FALSE)</f>
        <v/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7"/>
      <c r="AE41" t="b">
        <f>OR(AE32:AE36)</f>
        <v>0</v>
      </c>
      <c r="AF41">
        <f t="shared" ref="AF41:AF48" si="2">IF(AE41,AG41,9999)</f>
        <v>9999</v>
      </c>
      <c r="AG41" s="395">
        <v>3</v>
      </c>
      <c r="AH41" s="395" t="s">
        <v>2458</v>
      </c>
      <c r="AI41">
        <f t="shared" ref="AI41:AI48" si="3">SMALL($AF$40:$AF$48,ROW()-ROW(AF$40)+1)</f>
        <v>9999</v>
      </c>
    </row>
    <row r="42" spans="1:37" ht="9.75" customHeight="1" x14ac:dyDescent="0.25">
      <c r="A42" s="645"/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7"/>
      <c r="AE42" t="b">
        <f>OR(AE32:AE36)</f>
        <v>0</v>
      </c>
      <c r="AF42">
        <f t="shared" si="2"/>
        <v>9999</v>
      </c>
      <c r="AG42" s="358">
        <v>4</v>
      </c>
      <c r="AH42" s="395" t="s">
        <v>2459</v>
      </c>
      <c r="AI42">
        <f t="shared" si="3"/>
        <v>9999</v>
      </c>
    </row>
    <row r="43" spans="1:37" ht="9.75" customHeight="1" x14ac:dyDescent="0.25">
      <c r="A43" s="645" t="str">
        <f>VLOOKUP(AI42,$AG$40:$AH$49,2,FALSE)</f>
        <v/>
      </c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7"/>
      <c r="AE43" t="b">
        <f>AE34</f>
        <v>0</v>
      </c>
      <c r="AF43">
        <f t="shared" si="2"/>
        <v>9999</v>
      </c>
      <c r="AG43" s="395">
        <v>5</v>
      </c>
      <c r="AH43" s="395" t="s">
        <v>2460</v>
      </c>
      <c r="AI43">
        <f t="shared" si="3"/>
        <v>9999</v>
      </c>
    </row>
    <row r="44" spans="1:37" ht="9.75" customHeight="1" x14ac:dyDescent="0.25">
      <c r="A44" s="645"/>
      <c r="B44" s="646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646"/>
      <c r="Y44" s="646"/>
      <c r="Z44" s="646"/>
      <c r="AA44" s="646"/>
      <c r="AB44" s="646"/>
      <c r="AC44" s="646"/>
      <c r="AD44" s="647"/>
      <c r="AE44" t="b">
        <f>AE36</f>
        <v>0</v>
      </c>
      <c r="AF44">
        <f t="shared" si="2"/>
        <v>9999</v>
      </c>
      <c r="AG44" s="358">
        <v>6</v>
      </c>
      <c r="AH44" s="395" t="s">
        <v>2463</v>
      </c>
      <c r="AI44">
        <f t="shared" si="3"/>
        <v>9999</v>
      </c>
    </row>
    <row r="45" spans="1:37" ht="9.75" customHeight="1" x14ac:dyDescent="0.25">
      <c r="A45" s="645" t="str">
        <f>VLOOKUP(AI43,$AG$40:$AH$49,2,FALSE)</f>
        <v/>
      </c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7"/>
      <c r="AE45" t="b">
        <f>AE36</f>
        <v>0</v>
      </c>
      <c r="AF45">
        <f t="shared" si="2"/>
        <v>9999</v>
      </c>
      <c r="AG45" s="395">
        <v>7</v>
      </c>
      <c r="AH45" s="395" t="s">
        <v>2461</v>
      </c>
      <c r="AI45">
        <f t="shared" si="3"/>
        <v>9999</v>
      </c>
    </row>
    <row r="46" spans="1:37" ht="9.75" customHeight="1" x14ac:dyDescent="0.25">
      <c r="A46" s="645"/>
      <c r="B46" s="646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6"/>
      <c r="V46" s="646"/>
      <c r="W46" s="646"/>
      <c r="X46" s="646"/>
      <c r="Y46" s="646"/>
      <c r="Z46" s="646"/>
      <c r="AA46" s="646"/>
      <c r="AB46" s="646"/>
      <c r="AC46" s="646"/>
      <c r="AD46" s="647"/>
      <c r="AE46" t="b">
        <f>AE36</f>
        <v>0</v>
      </c>
      <c r="AF46">
        <f t="shared" si="2"/>
        <v>9999</v>
      </c>
      <c r="AG46" s="358">
        <v>8</v>
      </c>
      <c r="AH46" s="395" t="s">
        <v>2462</v>
      </c>
      <c r="AI46">
        <f t="shared" si="3"/>
        <v>9999</v>
      </c>
    </row>
    <row r="47" spans="1:37" ht="9.75" customHeight="1" x14ac:dyDescent="0.25">
      <c r="A47" s="645" t="str">
        <f>VLOOKUP(AI44,$AG$40:$AH$49,2,FALSE)</f>
        <v/>
      </c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7"/>
      <c r="AE47" t="b">
        <f>AE36</f>
        <v>0</v>
      </c>
      <c r="AF47">
        <f t="shared" si="2"/>
        <v>9999</v>
      </c>
      <c r="AG47" s="395">
        <v>9</v>
      </c>
      <c r="AH47" s="395" t="s">
        <v>2464</v>
      </c>
      <c r="AI47">
        <f t="shared" si="3"/>
        <v>9999</v>
      </c>
    </row>
    <row r="48" spans="1:37" ht="9.75" customHeight="1" x14ac:dyDescent="0.25">
      <c r="A48" s="645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7"/>
      <c r="AE48" t="b">
        <f>OR(AE28,AE36)</f>
        <v>1</v>
      </c>
      <c r="AF48">
        <f t="shared" si="2"/>
        <v>10</v>
      </c>
      <c r="AG48" s="358">
        <v>10</v>
      </c>
      <c r="AH48" s="375" t="s">
        <v>2465</v>
      </c>
      <c r="AI48">
        <f t="shared" si="3"/>
        <v>9999</v>
      </c>
    </row>
    <row r="49" spans="1:34" ht="9.75" customHeight="1" x14ac:dyDescent="0.25">
      <c r="A49" s="645" t="str">
        <f>VLOOKUP(AI45,$AG$40:$AH$49,2,FALSE)</f>
        <v/>
      </c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7"/>
      <c r="AG49" s="358">
        <v>9999</v>
      </c>
      <c r="AH49" s="364" t="str">
        <f>""</f>
        <v/>
      </c>
    </row>
    <row r="50" spans="1:34" ht="9.75" customHeight="1" x14ac:dyDescent="0.25">
      <c r="A50" s="645"/>
      <c r="B50" s="646"/>
      <c r="C50" s="646"/>
      <c r="D50" s="646"/>
      <c r="E50" s="646"/>
      <c r="F50" s="646"/>
      <c r="G50" s="646"/>
      <c r="H50" s="646"/>
      <c r="I50" s="646"/>
      <c r="J50" s="646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7"/>
      <c r="AH50" s="364"/>
    </row>
    <row r="51" spans="1:34" ht="9.75" customHeight="1" x14ac:dyDescent="0.25">
      <c r="A51" s="645" t="str">
        <f>VLOOKUP(AI46,$AG$40:$AH$49,2,FALSE)</f>
        <v/>
      </c>
      <c r="B51" s="646"/>
      <c r="C51" s="646"/>
      <c r="D51" s="646"/>
      <c r="E51" s="646"/>
      <c r="F51" s="646"/>
      <c r="G51" s="646"/>
      <c r="H51" s="646"/>
      <c r="I51" s="646"/>
      <c r="J51" s="646"/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7"/>
      <c r="AH51" s="365"/>
    </row>
    <row r="52" spans="1:34" ht="9.75" customHeight="1" x14ac:dyDescent="0.25">
      <c r="A52" s="645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7"/>
      <c r="AH52" s="364"/>
    </row>
    <row r="53" spans="1:34" ht="9.75" customHeight="1" x14ac:dyDescent="0.25">
      <c r="A53" s="645" t="str">
        <f>VLOOKUP(AI47,$AG$40:$AH$49,2,FALSE)</f>
        <v/>
      </c>
      <c r="B53" s="646"/>
      <c r="C53" s="646"/>
      <c r="D53" s="646"/>
      <c r="E53" s="646"/>
      <c r="F53" s="646"/>
      <c r="G53" s="646"/>
      <c r="H53" s="646"/>
      <c r="I53" s="646"/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7"/>
      <c r="AH53" s="364"/>
    </row>
    <row r="54" spans="1:34" ht="9.75" customHeight="1" x14ac:dyDescent="0.25">
      <c r="A54" s="645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6"/>
      <c r="AD54" s="647"/>
      <c r="AH54" s="364"/>
    </row>
    <row r="55" spans="1:34" ht="9.75" customHeight="1" x14ac:dyDescent="0.25">
      <c r="A55" s="645" t="str">
        <f>VLOOKUP(AI48,$AG$40:$AH$49,2,FALSE)</f>
        <v/>
      </c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7"/>
      <c r="AH55" s="364"/>
    </row>
    <row r="56" spans="1:34" ht="9.75" customHeight="1" x14ac:dyDescent="0.25">
      <c r="A56" s="645"/>
      <c r="B56" s="646"/>
      <c r="C56" s="646"/>
      <c r="D56" s="646"/>
      <c r="E56" s="646"/>
      <c r="F56" s="646"/>
      <c r="G56" s="646"/>
      <c r="H56" s="646"/>
      <c r="I56" s="646"/>
      <c r="J56" s="646"/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6"/>
      <c r="AC56" s="646"/>
      <c r="AD56" s="647"/>
      <c r="AH56" s="364"/>
    </row>
    <row r="57" spans="1:34" x14ac:dyDescent="0.25">
      <c r="A57" s="648" t="s">
        <v>2469</v>
      </c>
      <c r="B57" s="649"/>
      <c r="C57" s="649"/>
      <c r="D57" s="649"/>
      <c r="E57" s="649"/>
      <c r="F57" s="649"/>
      <c r="G57" s="649"/>
      <c r="H57" s="649"/>
      <c r="I57" s="649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50"/>
      <c r="AH57" s="364"/>
    </row>
    <row r="58" spans="1:34" x14ac:dyDescent="0.25">
      <c r="A58" s="397" t="s">
        <v>2470</v>
      </c>
      <c r="B58" s="396"/>
      <c r="C58" s="396"/>
      <c r="D58" s="396"/>
      <c r="E58" s="396"/>
      <c r="F58" s="652"/>
      <c r="G58" s="653"/>
      <c r="H58" s="653"/>
      <c r="I58" s="653"/>
      <c r="J58" s="653"/>
      <c r="K58" s="653"/>
      <c r="L58" s="653"/>
      <c r="M58" s="653"/>
      <c r="N58" s="653"/>
      <c r="O58" s="654"/>
      <c r="P58" s="397" t="s">
        <v>2470</v>
      </c>
      <c r="Q58" s="396"/>
      <c r="R58" s="396"/>
      <c r="S58" s="396"/>
      <c r="T58" s="396"/>
      <c r="U58" s="404"/>
      <c r="V58" s="405"/>
      <c r="W58" s="405"/>
      <c r="X58" s="405"/>
      <c r="Y58" s="405"/>
      <c r="Z58" s="405"/>
      <c r="AA58" s="405"/>
      <c r="AB58" s="405"/>
      <c r="AC58" s="405"/>
      <c r="AD58" s="406"/>
      <c r="AH58" s="364"/>
    </row>
    <row r="59" spans="1:34" x14ac:dyDescent="0.25">
      <c r="A59" s="372" t="s">
        <v>2471</v>
      </c>
      <c r="B59" s="359"/>
      <c r="C59" s="359"/>
      <c r="D59" s="359"/>
      <c r="E59" s="359"/>
      <c r="F59" s="402"/>
      <c r="G59" s="398"/>
      <c r="H59" s="398"/>
      <c r="I59" s="398"/>
      <c r="J59" s="398"/>
      <c r="K59" s="398"/>
      <c r="L59" s="398"/>
      <c r="M59" s="398"/>
      <c r="N59" s="398"/>
      <c r="O59" s="399"/>
      <c r="P59" s="372" t="s">
        <v>2471</v>
      </c>
      <c r="Q59" s="359"/>
      <c r="R59" s="359"/>
      <c r="S59" s="359"/>
      <c r="T59" s="359"/>
      <c r="U59" s="402"/>
      <c r="V59" s="398"/>
      <c r="W59" s="398"/>
      <c r="X59" s="398"/>
      <c r="Y59" s="398"/>
      <c r="Z59" s="398"/>
      <c r="AA59" s="398"/>
      <c r="AB59" s="398"/>
      <c r="AC59" s="398"/>
      <c r="AD59" s="399"/>
      <c r="AH59" s="365"/>
    </row>
    <row r="60" spans="1:34" x14ac:dyDescent="0.25">
      <c r="A60" s="361"/>
      <c r="B60" s="362"/>
      <c r="C60" s="362"/>
      <c r="D60" s="362"/>
      <c r="E60" s="362"/>
      <c r="F60" s="403"/>
      <c r="G60" s="400"/>
      <c r="H60" s="400"/>
      <c r="I60" s="400"/>
      <c r="J60" s="400"/>
      <c r="K60" s="400"/>
      <c r="L60" s="400"/>
      <c r="M60" s="400"/>
      <c r="N60" s="400"/>
      <c r="O60" s="401"/>
      <c r="P60" s="362"/>
      <c r="Q60" s="362"/>
      <c r="R60" s="362"/>
      <c r="S60" s="362"/>
      <c r="T60" s="362"/>
      <c r="U60" s="403"/>
      <c r="V60" s="400"/>
      <c r="W60" s="400"/>
      <c r="X60" s="400"/>
      <c r="Y60" s="400"/>
      <c r="Z60" s="400"/>
      <c r="AA60" s="400"/>
      <c r="AB60" s="400"/>
      <c r="AC60" s="400"/>
      <c r="AD60" s="401"/>
    </row>
  </sheetData>
  <mergeCells count="48">
    <mergeCell ref="F58:O58"/>
    <mergeCell ref="A55:AD56"/>
    <mergeCell ref="A24:AD24"/>
    <mergeCell ref="A13:AD13"/>
    <mergeCell ref="A9:E9"/>
    <mergeCell ref="F9:I9"/>
    <mergeCell ref="J9:K9"/>
    <mergeCell ref="L9:M9"/>
    <mergeCell ref="N9:AD9"/>
    <mergeCell ref="A10:AD10"/>
    <mergeCell ref="A41:AD42"/>
    <mergeCell ref="A39:AD40"/>
    <mergeCell ref="N31:Q31"/>
    <mergeCell ref="R31:S31"/>
    <mergeCell ref="T31:U31"/>
    <mergeCell ref="N34:Q34"/>
    <mergeCell ref="T33:U33"/>
    <mergeCell ref="A1:AD1"/>
    <mergeCell ref="A2:AD2"/>
    <mergeCell ref="A3:C3"/>
    <mergeCell ref="D3:AD3"/>
    <mergeCell ref="A4:F4"/>
    <mergeCell ref="G4:AD4"/>
    <mergeCell ref="G5:AD5"/>
    <mergeCell ref="G6:AD6"/>
    <mergeCell ref="A7:J7"/>
    <mergeCell ref="K7:AD7"/>
    <mergeCell ref="A8:E8"/>
    <mergeCell ref="F8:I8"/>
    <mergeCell ref="J8:K8"/>
    <mergeCell ref="L8:M8"/>
    <mergeCell ref="N8:AD8"/>
    <mergeCell ref="AL2:AN2"/>
    <mergeCell ref="A53:AD54"/>
    <mergeCell ref="A57:AD57"/>
    <mergeCell ref="A43:AD44"/>
    <mergeCell ref="A45:AD46"/>
    <mergeCell ref="A47:AD48"/>
    <mergeCell ref="A49:AD50"/>
    <mergeCell ref="A51:AD52"/>
    <mergeCell ref="R34:S34"/>
    <mergeCell ref="T34:U34"/>
    <mergeCell ref="A37:AD38"/>
    <mergeCell ref="N32:Q32"/>
    <mergeCell ref="R32:S32"/>
    <mergeCell ref="T32:U32"/>
    <mergeCell ref="N33:Q33"/>
    <mergeCell ref="R33:S33"/>
  </mergeCells>
  <conditionalFormatting sqref="A37">
    <cfRule type="expression" dxfId="9" priority="2">
      <formula>$AK$37=TRUE</formula>
    </cfRule>
    <cfRule type="expression" dxfId="8" priority="3">
      <formula>$AK$37=FALSE</formula>
    </cfRule>
  </conditionalFormatting>
  <conditionalFormatting sqref="E15 N15 W15 W19 N19 E19">
    <cfRule type="expression" dxfId="7" priority="1">
      <formula>E15="þ"</formula>
    </cfRule>
  </conditionalFormatting>
  <hyperlinks>
    <hyperlink ref="AL2" location="'hoofdformulier veilig werken'!A1" display="invullen in hoofdformulier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58" r:id="rId4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9525</xdr:rowOff>
                  </from>
                  <to>
                    <xdr:col>5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0" r:id="rId5" name="Check Box 56">
              <controlPr defaultSize="0" autoFill="0" autoLine="0" autoPict="0">
                <anchor moveWithCells="1">
                  <from>
                    <xdr:col>22</xdr:col>
                    <xdr:colOff>9525</xdr:colOff>
                    <xdr:row>10</xdr:row>
                    <xdr:rowOff>9525</xdr:rowOff>
                  </from>
                  <to>
                    <xdr:col>23</xdr:col>
                    <xdr:colOff>123825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2" r:id="rId6" name="Check Box 58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9525</xdr:rowOff>
                  </from>
                  <to>
                    <xdr:col>14</xdr:col>
                    <xdr:colOff>133350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3" r:id="rId7" name="Check Box 59">
              <controlPr defaultSize="0" autoFill="0" autoLine="0" autoPict="0">
                <anchor moveWithCells="1">
                  <from>
                    <xdr:col>12</xdr:col>
                    <xdr:colOff>161925</xdr:colOff>
                    <xdr:row>27</xdr:row>
                    <xdr:rowOff>0</xdr:rowOff>
                  </from>
                  <to>
                    <xdr:col>14</xdr:col>
                    <xdr:colOff>85725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5" r:id="rId8" name="Check Box 61">
              <controlPr defaultSize="0" autoFill="0" autoLine="0" autoPict="0">
                <anchor moveWithCells="1">
                  <from>
                    <xdr:col>12</xdr:col>
                    <xdr:colOff>161925</xdr:colOff>
                    <xdr:row>25</xdr:row>
                    <xdr:rowOff>9525</xdr:rowOff>
                  </from>
                  <to>
                    <xdr:col>14</xdr:col>
                    <xdr:colOff>85725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6" r:id="rId9" name="Check Box 62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85725</xdr:rowOff>
                  </from>
                  <to>
                    <xdr:col>23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8" r:id="rId10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85725</xdr:rowOff>
                  </from>
                  <to>
                    <xdr:col>5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0" r:id="rId11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76200</xdr:rowOff>
                  </from>
                  <to>
                    <xdr:col>5</xdr:col>
                    <xdr:colOff>114300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1" r:id="rId12" name="Check Box 67">
              <controlPr defaultSize="0" autoFill="0" autoLine="0" autoPict="0">
                <anchor moveWithCells="1">
                  <from>
                    <xdr:col>22</xdr:col>
                    <xdr:colOff>9525</xdr:colOff>
                    <xdr:row>11</xdr:row>
                    <xdr:rowOff>9525</xdr:rowOff>
                  </from>
                  <to>
                    <xdr:col>23</xdr:col>
                    <xdr:colOff>123825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0" r:id="rId13" name="Check Box 76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95250</xdr:rowOff>
                  </from>
                  <to>
                    <xdr:col>23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7" r:id="rId14" name="Check Box 83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76200</xdr:rowOff>
                  </from>
                  <to>
                    <xdr:col>23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4" r:id="rId15" name="Check Box 60">
              <controlPr defaultSize="0" autoFill="0" autoLine="0" autoPict="0">
                <anchor moveWithCells="1">
                  <from>
                    <xdr:col>12</xdr:col>
                    <xdr:colOff>161925</xdr:colOff>
                    <xdr:row>29</xdr:row>
                    <xdr:rowOff>0</xdr:rowOff>
                  </from>
                  <to>
                    <xdr:col>14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/>
  <dimension ref="A1:AL57"/>
  <sheetViews>
    <sheetView view="pageBreakPreview" topLeftCell="A22" zoomScaleNormal="100" zoomScaleSheetLayoutView="100" workbookViewId="0">
      <selection activeCell="J8" sqref="J8:K8"/>
    </sheetView>
  </sheetViews>
  <sheetFormatPr defaultRowHeight="15" x14ac:dyDescent="0.25"/>
  <cols>
    <col min="1" max="1" width="2.28515625" customWidth="1"/>
    <col min="2" max="2" width="2.140625" customWidth="1"/>
    <col min="3" max="14" width="2.85546875" customWidth="1"/>
    <col min="15" max="15" width="6.42578125" customWidth="1"/>
    <col min="16" max="16" width="1.85546875" customWidth="1"/>
    <col min="17" max="17" width="2.140625" customWidth="1"/>
    <col min="18" max="18" width="2.5703125" customWidth="1"/>
    <col min="19" max="19" width="2.85546875" customWidth="1"/>
    <col min="20" max="20" width="2.28515625" customWidth="1"/>
    <col min="21" max="22" width="2.5703125" customWidth="1"/>
    <col min="23" max="23" width="2.85546875" customWidth="1"/>
    <col min="24" max="24" width="2.5703125" customWidth="1"/>
    <col min="25" max="28" width="2.85546875" customWidth="1"/>
    <col min="29" max="29" width="3.28515625" customWidth="1"/>
    <col min="30" max="30" width="5.42578125" customWidth="1"/>
    <col min="31" max="33" width="9.140625" hidden="1" customWidth="1"/>
    <col min="34" max="34" width="9.140625" style="4" hidden="1" customWidth="1"/>
    <col min="35" max="35" width="9.140625" hidden="1" customWidth="1"/>
    <col min="36" max="39" width="9.140625" customWidth="1"/>
  </cols>
  <sheetData>
    <row r="1" spans="1:38" ht="18.75" x14ac:dyDescent="0.3">
      <c r="A1" s="668" t="s">
        <v>2412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</row>
    <row r="2" spans="1:38" s="410" customFormat="1" ht="10.5" customHeight="1" x14ac:dyDescent="0.25">
      <c r="A2" s="669" t="s">
        <v>2356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1"/>
      <c r="AE2" s="422"/>
      <c r="AH2" s="423"/>
      <c r="AJ2" s="667" t="s">
        <v>2472</v>
      </c>
      <c r="AK2" s="667"/>
      <c r="AL2" s="667"/>
    </row>
    <row r="3" spans="1:38" x14ac:dyDescent="0.25">
      <c r="A3" s="672" t="s">
        <v>2357</v>
      </c>
      <c r="B3" s="673"/>
      <c r="C3" s="674"/>
      <c r="D3" s="675">
        <f>'hoofdformulier veilig werken'!D3:AD3</f>
        <v>0</v>
      </c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7"/>
      <c r="AH3" s="364"/>
    </row>
    <row r="4" spans="1:38" x14ac:dyDescent="0.25">
      <c r="A4" s="672" t="s">
        <v>2358</v>
      </c>
      <c r="B4" s="673"/>
      <c r="C4" s="673"/>
      <c r="D4" s="673"/>
      <c r="E4" s="673"/>
      <c r="F4" s="674"/>
      <c r="G4" s="676" t="str">
        <f>'hoofdformulier veilig werken'!G4:AD4</f>
        <v xml:space="preserve"> </v>
      </c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7"/>
      <c r="AH4" s="364"/>
    </row>
    <row r="5" spans="1:38" x14ac:dyDescent="0.25">
      <c r="A5" s="491"/>
      <c r="B5" s="487"/>
      <c r="C5" s="487"/>
      <c r="D5" s="487"/>
      <c r="E5" s="487"/>
      <c r="F5" s="488"/>
      <c r="G5" s="676" t="str">
        <f>'hoofdformulier veilig werken'!G5:AD5</f>
        <v xml:space="preserve"> </v>
      </c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7"/>
      <c r="AH5" s="364"/>
    </row>
    <row r="6" spans="1:38" x14ac:dyDescent="0.25">
      <c r="A6" s="492"/>
      <c r="B6" s="489"/>
      <c r="C6" s="489"/>
      <c r="D6" s="489"/>
      <c r="E6" s="489"/>
      <c r="F6" s="490"/>
      <c r="G6" s="676" t="str">
        <f>'hoofdformulier veilig werken'!G6:AD6</f>
        <v xml:space="preserve"> </v>
      </c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7"/>
      <c r="AH6" s="364"/>
    </row>
    <row r="7" spans="1:38" x14ac:dyDescent="0.25">
      <c r="A7" s="681" t="s">
        <v>2362</v>
      </c>
      <c r="B7" s="682"/>
      <c r="C7" s="682"/>
      <c r="D7" s="682"/>
      <c r="E7" s="682"/>
      <c r="F7" s="682"/>
      <c r="G7" s="682"/>
      <c r="H7" s="682"/>
      <c r="I7" s="682"/>
      <c r="J7" s="683"/>
      <c r="K7" s="675">
        <f>'hoofdformulier veilig werken'!K7:AD7</f>
        <v>0</v>
      </c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7"/>
      <c r="AH7" s="364"/>
    </row>
    <row r="8" spans="1:38" x14ac:dyDescent="0.25">
      <c r="A8" s="681" t="s">
        <v>2359</v>
      </c>
      <c r="B8" s="682"/>
      <c r="C8" s="682"/>
      <c r="D8" s="682"/>
      <c r="E8" s="683"/>
      <c r="F8" s="684">
        <f>'hoofdformulier veilig werken'!F8:I8</f>
        <v>0</v>
      </c>
      <c r="G8" s="685"/>
      <c r="H8" s="685"/>
      <c r="I8" s="686"/>
      <c r="J8" s="687" t="s">
        <v>2360</v>
      </c>
      <c r="K8" s="688"/>
      <c r="L8" s="689">
        <f>'hoofdformulier veilig werken'!L8:M8</f>
        <v>0</v>
      </c>
      <c r="M8" s="690"/>
      <c r="N8" s="691" t="s">
        <v>2363</v>
      </c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2"/>
      <c r="AH8" s="364"/>
    </row>
    <row r="9" spans="1:38" x14ac:dyDescent="0.25">
      <c r="A9" s="681" t="s">
        <v>2361</v>
      </c>
      <c r="B9" s="682"/>
      <c r="C9" s="682"/>
      <c r="D9" s="682"/>
      <c r="E9" s="683"/>
      <c r="F9" s="684">
        <f>'hoofdformulier veilig werken'!F9:I9</f>
        <v>0</v>
      </c>
      <c r="G9" s="685"/>
      <c r="H9" s="685"/>
      <c r="I9" s="686"/>
      <c r="J9" s="687" t="s">
        <v>2360</v>
      </c>
      <c r="K9" s="688"/>
      <c r="L9" s="689">
        <f>'hoofdformulier veilig werken'!L9:M9</f>
        <v>0</v>
      </c>
      <c r="M9" s="690"/>
      <c r="N9" s="693">
        <f>'hoofdformulier veilig werken'!N9:AD9</f>
        <v>0</v>
      </c>
      <c r="O9" s="694"/>
      <c r="P9" s="694"/>
      <c r="Q9" s="694"/>
      <c r="R9" s="694"/>
      <c r="S9" s="694"/>
      <c r="T9" s="694"/>
      <c r="U9" s="694"/>
      <c r="V9" s="694"/>
      <c r="W9" s="694"/>
      <c r="X9" s="694"/>
      <c r="Y9" s="694"/>
      <c r="Z9" s="694"/>
      <c r="AA9" s="694"/>
      <c r="AB9" s="694"/>
      <c r="AC9" s="694"/>
      <c r="AD9" s="695"/>
      <c r="AH9" s="364"/>
    </row>
    <row r="10" spans="1:38" s="410" customFormat="1" ht="10.5" customHeight="1" x14ac:dyDescent="0.25">
      <c r="A10" s="678" t="s">
        <v>2480</v>
      </c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80"/>
      <c r="AH10" s="414"/>
    </row>
    <row r="11" spans="1:38" ht="15" customHeight="1" x14ac:dyDescent="0.25">
      <c r="A11" s="435"/>
      <c r="B11" s="436" t="s">
        <v>2531</v>
      </c>
      <c r="C11" s="437"/>
      <c r="D11" s="438"/>
      <c r="E11" s="438"/>
      <c r="F11" s="438"/>
      <c r="G11" s="438"/>
      <c r="H11" s="438"/>
      <c r="I11" s="438"/>
      <c r="J11" s="438"/>
      <c r="K11" s="438"/>
      <c r="L11" s="438"/>
      <c r="M11" s="439"/>
      <c r="N11" s="439"/>
      <c r="O11" s="440"/>
      <c r="P11" s="435"/>
      <c r="Q11" s="436" t="s">
        <v>2543</v>
      </c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  <c r="AE11" t="b">
        <v>0</v>
      </c>
      <c r="AF11" t="b">
        <v>1</v>
      </c>
      <c r="AH11" s="364"/>
    </row>
    <row r="12" spans="1:38" ht="15" customHeight="1" x14ac:dyDescent="0.25">
      <c r="A12" s="441" t="s">
        <v>2501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7"/>
      <c r="P12" s="442" t="s">
        <v>2498</v>
      </c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7"/>
      <c r="AH12" s="364"/>
    </row>
    <row r="13" spans="1:38" x14ac:dyDescent="0.25">
      <c r="A13" s="443">
        <v>1</v>
      </c>
      <c r="B13" s="366"/>
      <c r="C13" s="366" t="s">
        <v>2546</v>
      </c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7"/>
      <c r="P13" s="696" t="s">
        <v>2481</v>
      </c>
      <c r="Q13" s="696"/>
      <c r="R13" s="696"/>
      <c r="S13" s="696" t="s">
        <v>2482</v>
      </c>
      <c r="T13" s="696"/>
      <c r="U13" s="696"/>
      <c r="V13" s="696" t="s">
        <v>2483</v>
      </c>
      <c r="W13" s="696"/>
      <c r="X13" s="696"/>
      <c r="Y13" s="697" t="s">
        <v>2484</v>
      </c>
      <c r="Z13" s="697"/>
      <c r="AA13" s="697"/>
      <c r="AB13" s="366"/>
      <c r="AC13" s="366"/>
      <c r="AD13" s="367"/>
      <c r="AH13" s="364"/>
      <c r="AI13" t="b">
        <f>AND(AE14:AH14)</f>
        <v>0</v>
      </c>
    </row>
    <row r="14" spans="1:38" x14ac:dyDescent="0.25">
      <c r="A14" s="444">
        <v>2</v>
      </c>
      <c r="B14" s="445"/>
      <c r="C14" s="706" t="s">
        <v>2547</v>
      </c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367"/>
      <c r="P14" s="708">
        <v>20</v>
      </c>
      <c r="Q14" s="709"/>
      <c r="R14" s="446" t="s">
        <v>2493</v>
      </c>
      <c r="S14" s="710">
        <v>8</v>
      </c>
      <c r="T14" s="709"/>
      <c r="U14" s="446" t="s">
        <v>2494</v>
      </c>
      <c r="V14" s="710">
        <v>3</v>
      </c>
      <c r="W14" s="709"/>
      <c r="X14" s="446" t="s">
        <v>2495</v>
      </c>
      <c r="Y14" s="710">
        <v>1</v>
      </c>
      <c r="Z14" s="709"/>
      <c r="AA14" s="446" t="s">
        <v>2491</v>
      </c>
      <c r="AB14" s="366"/>
      <c r="AC14" s="366"/>
      <c r="AD14" s="367"/>
      <c r="AE14" t="b">
        <f>P14=0</f>
        <v>0</v>
      </c>
      <c r="AF14" t="b">
        <f>S14=0</f>
        <v>0</v>
      </c>
      <c r="AG14" t="b">
        <f>V14=0</f>
        <v>0</v>
      </c>
      <c r="AH14" t="b">
        <f>Y14=0</f>
        <v>0</v>
      </c>
      <c r="AI14" t="b">
        <f>OR(AE14:AH14)</f>
        <v>0</v>
      </c>
    </row>
    <row r="15" spans="1:38" s="408" customFormat="1" ht="8.25" customHeight="1" x14ac:dyDescent="0.25">
      <c r="A15" s="443">
        <v>3</v>
      </c>
      <c r="B15" s="366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706"/>
      <c r="N15" s="706"/>
      <c r="O15" s="447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445"/>
      <c r="AC15" s="445"/>
      <c r="AD15" s="447"/>
      <c r="AH15" s="407"/>
    </row>
    <row r="16" spans="1:38" ht="15" customHeight="1" x14ac:dyDescent="0.25">
      <c r="A16" s="444">
        <v>4</v>
      </c>
      <c r="B16" s="445"/>
      <c r="C16" s="369" t="s">
        <v>2548</v>
      </c>
      <c r="D16" s="445"/>
      <c r="E16" s="445"/>
      <c r="F16" s="445"/>
      <c r="G16" s="445"/>
      <c r="H16" s="445"/>
      <c r="I16" s="445"/>
      <c r="J16" s="445"/>
      <c r="K16" s="366"/>
      <c r="L16" s="366"/>
      <c r="M16" s="366"/>
      <c r="N16" s="366"/>
      <c r="O16" s="367"/>
      <c r="P16" s="711">
        <f>IF(P14&lt;=5,1,0)</f>
        <v>0</v>
      </c>
      <c r="Q16" s="711"/>
      <c r="R16" s="711"/>
      <c r="S16" s="711">
        <f>IF(S14&lt;=2,1,0)</f>
        <v>0</v>
      </c>
      <c r="T16" s="711"/>
      <c r="U16" s="711"/>
      <c r="V16" s="711">
        <f>IF(V14&lt;=5,1,0)</f>
        <v>1</v>
      </c>
      <c r="W16" s="711"/>
      <c r="X16" s="711"/>
      <c r="Y16" s="711">
        <f>IF(Y14&lt;=1,1,0)</f>
        <v>1</v>
      </c>
      <c r="Z16" s="711"/>
      <c r="AA16" s="711"/>
      <c r="AB16" s="366"/>
      <c r="AC16" s="700" t="str">
        <f>IF(AND(P14&gt;0,P14&lt;=2),"E",IF(AND(SUM(P14,S14,V14,Y14)&gt;1,AC20="",AC18=""),"E",""))</f>
        <v/>
      </c>
      <c r="AD16" s="701"/>
      <c r="AH16" s="364"/>
    </row>
    <row r="17" spans="1:34" s="408" customFormat="1" ht="8.25" customHeight="1" x14ac:dyDescent="0.25">
      <c r="A17" s="443">
        <v>5</v>
      </c>
      <c r="B17" s="366"/>
      <c r="C17" s="366"/>
      <c r="D17" s="366"/>
      <c r="E17" s="366"/>
      <c r="F17" s="366"/>
      <c r="G17" s="366"/>
      <c r="H17" s="366"/>
      <c r="I17" s="366"/>
      <c r="J17" s="366"/>
      <c r="K17" s="445"/>
      <c r="L17" s="445"/>
      <c r="M17" s="445"/>
      <c r="N17" s="445"/>
      <c r="O17" s="447"/>
      <c r="P17" s="699" t="s">
        <v>2485</v>
      </c>
      <c r="Q17" s="699"/>
      <c r="R17" s="699"/>
      <c r="S17" s="699" t="s">
        <v>2487</v>
      </c>
      <c r="T17" s="699"/>
      <c r="U17" s="699"/>
      <c r="V17" s="699" t="s">
        <v>2489</v>
      </c>
      <c r="W17" s="699"/>
      <c r="X17" s="699"/>
      <c r="Y17" s="698"/>
      <c r="Z17" s="698"/>
      <c r="AA17" s="698"/>
      <c r="AB17" s="445"/>
      <c r="AC17" s="445"/>
      <c r="AD17" s="447"/>
      <c r="AE17"/>
      <c r="AH17" s="407"/>
    </row>
    <row r="18" spans="1:34" ht="15" customHeight="1" x14ac:dyDescent="0.25">
      <c r="A18" s="444">
        <v>6</v>
      </c>
      <c r="B18" s="445"/>
      <c r="C18" s="366" t="s">
        <v>2549</v>
      </c>
      <c r="D18" s="445"/>
      <c r="E18" s="445"/>
      <c r="F18" s="445"/>
      <c r="G18" s="445"/>
      <c r="H18" s="445"/>
      <c r="I18" s="445" t="s">
        <v>2499</v>
      </c>
      <c r="J18" s="445"/>
      <c r="K18" s="366"/>
      <c r="L18" s="366"/>
      <c r="M18" s="366"/>
      <c r="N18" s="366"/>
      <c r="O18" s="367"/>
      <c r="P18" s="704">
        <f>IF(AND(P14&gt;5,P14&lt;=7.5),1,0)</f>
        <v>0</v>
      </c>
      <c r="Q18" s="704"/>
      <c r="R18" s="704"/>
      <c r="S18" s="704">
        <f>IF(AND(S14&gt;2,S14&lt;=4),1,0)</f>
        <v>0</v>
      </c>
      <c r="T18" s="704"/>
      <c r="U18" s="704"/>
      <c r="V18" s="704">
        <f>IF(AND(V14&gt;5,V14&lt;=10),1,0)</f>
        <v>0</v>
      </c>
      <c r="W18" s="704"/>
      <c r="X18" s="704"/>
      <c r="Y18" s="705"/>
      <c r="Z18" s="705"/>
      <c r="AA18" s="705"/>
      <c r="AB18" s="366"/>
      <c r="AC18" s="702" t="str">
        <f>IF(AND(P14&gt;0,P14&lt;=2),"",IF(AF11=FALSE,"",IF(AC20="",IF(AI14,"E",IF(SUM(P18:AA18)&gt;=1,"E","")),"")))</f>
        <v/>
      </c>
      <c r="AD18" s="703"/>
      <c r="AH18" s="364"/>
    </row>
    <row r="19" spans="1:34" s="408" customFormat="1" ht="8.25" customHeight="1" x14ac:dyDescent="0.25">
      <c r="A19" s="448"/>
      <c r="B19" s="366"/>
      <c r="C19" s="366"/>
      <c r="D19" s="366"/>
      <c r="E19" s="366"/>
      <c r="F19" s="366"/>
      <c r="G19" s="366"/>
      <c r="H19" s="366"/>
      <c r="I19" s="445" t="s">
        <v>2500</v>
      </c>
      <c r="J19" s="366"/>
      <c r="K19" s="445"/>
      <c r="L19" s="445"/>
      <c r="M19" s="445"/>
      <c r="N19" s="445"/>
      <c r="O19" s="447"/>
      <c r="P19" s="699" t="s">
        <v>2486</v>
      </c>
      <c r="Q19" s="699"/>
      <c r="R19" s="699"/>
      <c r="S19" s="699" t="s">
        <v>2488</v>
      </c>
      <c r="T19" s="699"/>
      <c r="U19" s="699"/>
      <c r="V19" s="699" t="s">
        <v>2490</v>
      </c>
      <c r="W19" s="699"/>
      <c r="X19" s="699"/>
      <c r="Y19" s="699" t="s">
        <v>2492</v>
      </c>
      <c r="Z19" s="699"/>
      <c r="AA19" s="699"/>
      <c r="AB19" s="445"/>
      <c r="AC19" s="445"/>
      <c r="AD19" s="447"/>
      <c r="AE19"/>
      <c r="AH19" s="407"/>
    </row>
    <row r="20" spans="1:34" ht="15" customHeight="1" x14ac:dyDescent="0.25">
      <c r="A20" s="441" t="s">
        <v>2479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7"/>
      <c r="P20" s="707">
        <f>IF(P14&gt;7.5,1,0)</f>
        <v>1</v>
      </c>
      <c r="Q20" s="707"/>
      <c r="R20" s="707"/>
      <c r="S20" s="707">
        <f>IF(S14&gt;4,1,0)</f>
        <v>1</v>
      </c>
      <c r="T20" s="707"/>
      <c r="U20" s="707"/>
      <c r="V20" s="707">
        <f>IF(V14&gt;10,1,0)</f>
        <v>0</v>
      </c>
      <c r="W20" s="707"/>
      <c r="X20" s="707"/>
      <c r="Y20" s="707">
        <f>IF(Y14&gt;1,1,0)</f>
        <v>0</v>
      </c>
      <c r="Z20" s="707"/>
      <c r="AA20" s="707"/>
      <c r="AB20" s="366"/>
      <c r="AC20" s="700" t="str">
        <f>IF(AND(P14&gt;0,P14&lt;=2),"",IF(SUM(P20:AA20)&gt;=1,"E",""))</f>
        <v>E</v>
      </c>
      <c r="AD20" s="701"/>
      <c r="AH20" s="364"/>
    </row>
    <row r="21" spans="1:34" x14ac:dyDescent="0.25">
      <c r="A21" s="718" t="s">
        <v>2574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20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449"/>
      <c r="AA21" s="366"/>
      <c r="AB21" s="366"/>
      <c r="AC21" s="366"/>
      <c r="AD21" s="367"/>
      <c r="AH21" s="364"/>
    </row>
    <row r="22" spans="1:34" x14ac:dyDescent="0.25">
      <c r="A22" s="718" t="s">
        <v>2519</v>
      </c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20"/>
      <c r="P22" s="450" t="str">
        <f>IF(AC16="E","þ","o")</f>
        <v>o</v>
      </c>
      <c r="Q22" s="366" t="s">
        <v>2518</v>
      </c>
      <c r="R22" s="366"/>
      <c r="S22" s="366"/>
      <c r="T22" s="366"/>
      <c r="U22" s="366"/>
      <c r="V22" s="366"/>
      <c r="W22" s="366"/>
      <c r="X22" s="366"/>
      <c r="Y22" s="366"/>
      <c r="Z22" s="445"/>
      <c r="AA22" s="366"/>
      <c r="AB22" s="366"/>
      <c r="AC22" s="366"/>
      <c r="AD22" s="367"/>
      <c r="AH22" s="364"/>
    </row>
    <row r="23" spans="1:34" x14ac:dyDescent="0.25">
      <c r="A23" s="721" t="s">
        <v>2502</v>
      </c>
      <c r="B23" s="719"/>
      <c r="C23" s="719"/>
      <c r="D23" s="719"/>
      <c r="E23" s="719"/>
      <c r="F23" s="719"/>
      <c r="G23" s="719"/>
      <c r="H23" s="719"/>
      <c r="I23" s="719"/>
      <c r="J23" s="719"/>
      <c r="K23" s="719"/>
      <c r="L23" s="719"/>
      <c r="M23" s="719"/>
      <c r="N23" s="719"/>
      <c r="O23" s="720"/>
      <c r="P23" s="450" t="str">
        <f>IF(AC18="E","þ","o")</f>
        <v>o</v>
      </c>
      <c r="Q23" s="366" t="s">
        <v>2496</v>
      </c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7"/>
      <c r="AH23" s="364"/>
    </row>
    <row r="24" spans="1:34" x14ac:dyDescent="0.25">
      <c r="A24" s="718" t="s">
        <v>2503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20"/>
      <c r="P24" s="450" t="str">
        <f>IF(AC20="E","þ","o")</f>
        <v>þ</v>
      </c>
      <c r="Q24" s="366" t="s">
        <v>2497</v>
      </c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7"/>
      <c r="AH24" s="364"/>
    </row>
    <row r="25" spans="1:34" x14ac:dyDescent="0.25">
      <c r="A25" s="722" t="s">
        <v>2506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23"/>
      <c r="L25" s="723"/>
      <c r="M25" s="723"/>
      <c r="N25" s="723"/>
      <c r="O25" s="724"/>
      <c r="P25" s="451"/>
      <c r="Q25" s="452" t="s">
        <v>2567</v>
      </c>
      <c r="R25" s="452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3"/>
      <c r="AG25" s="409"/>
      <c r="AH25" s="364"/>
    </row>
    <row r="26" spans="1:34" ht="15.75" x14ac:dyDescent="0.25">
      <c r="A26" s="435"/>
      <c r="B26" s="454" t="s">
        <v>2532</v>
      </c>
      <c r="C26" s="455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40"/>
      <c r="P26" s="435"/>
      <c r="Q26" s="454" t="s">
        <v>2542</v>
      </c>
      <c r="R26" s="439"/>
      <c r="S26" s="439"/>
      <c r="T26" s="439"/>
      <c r="U26" s="439"/>
      <c r="V26" s="456"/>
      <c r="W26" s="456"/>
      <c r="X26" s="457" t="str">
        <f>IF(AND(AF26,P24="þ"),"niet toegelaten","")</f>
        <v/>
      </c>
      <c r="Y26" s="439"/>
      <c r="Z26" s="439"/>
      <c r="AA26" s="439"/>
      <c r="AB26" s="439"/>
      <c r="AC26" s="439"/>
      <c r="AD26" s="440"/>
      <c r="AE26" t="b">
        <v>0</v>
      </c>
      <c r="AF26" t="b">
        <v>0</v>
      </c>
      <c r="AH26" s="364"/>
    </row>
    <row r="27" spans="1:34" x14ac:dyDescent="0.25">
      <c r="A27" s="458"/>
      <c r="B27" s="459" t="s">
        <v>2507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60"/>
      <c r="P27" s="459"/>
      <c r="Q27" s="461"/>
      <c r="R27" s="461" t="s">
        <v>2529</v>
      </c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60"/>
      <c r="AH27" s="364"/>
    </row>
    <row r="28" spans="1:34" x14ac:dyDescent="0.25">
      <c r="A28" s="412"/>
      <c r="B28" s="565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7"/>
      <c r="P28" s="366">
        <v>1</v>
      </c>
      <c r="Q28" s="366" t="s">
        <v>2526</v>
      </c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7"/>
      <c r="AH28" s="364"/>
    </row>
    <row r="29" spans="1:34" ht="12.75" customHeight="1" x14ac:dyDescent="0.25">
      <c r="A29" s="412"/>
      <c r="B29" s="366"/>
      <c r="C29" s="366" t="s">
        <v>2550</v>
      </c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7"/>
      <c r="P29" s="366">
        <v>2</v>
      </c>
      <c r="Q29" s="366" t="s">
        <v>2544</v>
      </c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7"/>
      <c r="AH29" s="364"/>
    </row>
    <row r="30" spans="1:34" ht="12.75" customHeight="1" x14ac:dyDescent="0.25">
      <c r="A30" s="412"/>
      <c r="B30" s="366"/>
      <c r="C30" s="369" t="s">
        <v>2551</v>
      </c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7"/>
      <c r="P30" s="462">
        <v>3</v>
      </c>
      <c r="Q30" s="366" t="s">
        <v>2535</v>
      </c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7"/>
      <c r="AH30" s="364"/>
    </row>
    <row r="31" spans="1:34" ht="13.5" customHeight="1" x14ac:dyDescent="0.25">
      <c r="A31" s="412"/>
      <c r="B31" s="366"/>
      <c r="C31" s="366" t="s">
        <v>2552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7"/>
      <c r="P31" s="366"/>
      <c r="Q31" s="366"/>
      <c r="R31" s="366"/>
      <c r="S31" s="366"/>
      <c r="T31" s="366"/>
      <c r="U31" s="366"/>
      <c r="V31" s="463"/>
      <c r="W31" s="463" t="s">
        <v>2540</v>
      </c>
      <c r="X31" s="366"/>
      <c r="Y31" s="366"/>
      <c r="Z31" s="366"/>
      <c r="AA31" s="366"/>
      <c r="AB31" s="366"/>
      <c r="AC31" s="366"/>
      <c r="AD31" s="367"/>
      <c r="AH31" s="364"/>
    </row>
    <row r="32" spans="1:34" s="410" customFormat="1" ht="10.5" customHeight="1" x14ac:dyDescent="0.25">
      <c r="A32" s="464"/>
      <c r="B32" s="462"/>
      <c r="C32" s="369" t="s">
        <v>2517</v>
      </c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5"/>
      <c r="P32" s="366"/>
      <c r="Q32" s="366"/>
      <c r="R32" s="462"/>
      <c r="S32" s="366"/>
      <c r="T32" s="366"/>
      <c r="U32" s="366"/>
      <c r="V32" s="366"/>
      <c r="W32" s="466" t="s">
        <v>2538</v>
      </c>
      <c r="X32" s="366"/>
      <c r="Y32" s="366"/>
      <c r="Z32" s="366"/>
      <c r="AA32" s="366"/>
      <c r="AB32" s="366"/>
      <c r="AC32" s="366"/>
      <c r="AD32" s="367"/>
      <c r="AH32" s="414"/>
    </row>
    <row r="33" spans="1:34" x14ac:dyDescent="0.25">
      <c r="A33" s="412"/>
      <c r="B33" s="366"/>
      <c r="C33" s="366" t="s">
        <v>2553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366"/>
      <c r="Q33" s="366"/>
      <c r="R33" s="366"/>
      <c r="S33" s="366"/>
      <c r="T33" s="366"/>
      <c r="U33" s="366"/>
      <c r="V33" s="366"/>
      <c r="W33" s="463" t="s">
        <v>2560</v>
      </c>
      <c r="X33" s="366"/>
      <c r="Y33" s="366"/>
      <c r="Z33" s="366"/>
      <c r="AA33" s="366"/>
      <c r="AB33" s="366"/>
      <c r="AC33" s="366"/>
      <c r="AD33" s="367"/>
      <c r="AE33" s="410"/>
      <c r="AH33" s="364"/>
    </row>
    <row r="34" spans="1:34" ht="14.25" customHeight="1" x14ac:dyDescent="0.25">
      <c r="A34" s="435"/>
      <c r="B34" s="467" t="s">
        <v>2533</v>
      </c>
      <c r="C34" s="455"/>
      <c r="D34" s="439"/>
      <c r="E34" s="439"/>
      <c r="F34" s="439"/>
      <c r="G34" s="439"/>
      <c r="H34" s="468"/>
      <c r="I34" s="439"/>
      <c r="J34" s="439"/>
      <c r="K34" s="439"/>
      <c r="L34" s="439"/>
      <c r="M34" s="439"/>
      <c r="N34" s="439"/>
      <c r="O34" s="439"/>
      <c r="P34" s="412"/>
      <c r="Q34" s="366"/>
      <c r="R34" s="366"/>
      <c r="S34" s="366"/>
      <c r="T34" s="366"/>
      <c r="U34" s="366"/>
      <c r="V34" s="366"/>
      <c r="W34" s="463" t="s">
        <v>2561</v>
      </c>
      <c r="X34" s="366"/>
      <c r="Y34" s="366"/>
      <c r="Z34" s="366"/>
      <c r="AA34" s="366"/>
      <c r="AB34" s="366"/>
      <c r="AC34" s="366"/>
      <c r="AD34" s="367"/>
      <c r="AE34" s="410"/>
      <c r="AH34" s="364"/>
    </row>
    <row r="35" spans="1:34" ht="13.5" customHeight="1" x14ac:dyDescent="0.25">
      <c r="A35" s="458"/>
      <c r="B35" s="461"/>
      <c r="C35" s="461" t="s">
        <v>2554</v>
      </c>
      <c r="D35" s="459"/>
      <c r="E35" s="459"/>
      <c r="F35" s="459"/>
      <c r="G35" s="459"/>
      <c r="H35" s="469"/>
      <c r="I35" s="459"/>
      <c r="J35" s="459"/>
      <c r="K35" s="459"/>
      <c r="L35" s="459"/>
      <c r="M35" s="459"/>
      <c r="N35" s="459"/>
      <c r="O35" s="460"/>
      <c r="P35" s="366"/>
      <c r="Q35" s="366"/>
      <c r="R35" s="366"/>
      <c r="S35" s="366"/>
      <c r="T35" s="366"/>
      <c r="U35" s="366"/>
      <c r="V35" s="366"/>
      <c r="W35" s="463" t="s">
        <v>2562</v>
      </c>
      <c r="X35" s="366"/>
      <c r="Y35" s="366"/>
      <c r="Z35" s="366"/>
      <c r="AA35" s="366"/>
      <c r="AB35" s="366"/>
      <c r="AC35" s="366"/>
      <c r="AD35" s="367"/>
      <c r="AE35" s="410"/>
      <c r="AH35" s="364"/>
    </row>
    <row r="36" spans="1:34" ht="13.5" customHeight="1" x14ac:dyDescent="0.25">
      <c r="A36" s="412">
        <v>1</v>
      </c>
      <c r="B36" s="470" t="s">
        <v>2509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1"/>
      <c r="P36" s="462"/>
      <c r="Q36" s="366"/>
      <c r="R36" s="462"/>
      <c r="S36" s="366"/>
      <c r="T36" s="366"/>
      <c r="U36" s="366"/>
      <c r="V36" s="366"/>
      <c r="W36" s="472" t="s">
        <v>2565</v>
      </c>
      <c r="X36" s="366"/>
      <c r="Y36" s="366"/>
      <c r="Z36" s="366"/>
      <c r="AA36" s="366"/>
      <c r="AB36" s="366"/>
      <c r="AC36" s="366"/>
      <c r="AD36" s="367"/>
      <c r="AE36" s="410"/>
      <c r="AH36" s="364"/>
    </row>
    <row r="37" spans="1:34" ht="13.5" customHeight="1" x14ac:dyDescent="0.25">
      <c r="A37" s="412">
        <v>2</v>
      </c>
      <c r="B37" s="366" t="s">
        <v>2508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7"/>
      <c r="P37" s="366"/>
      <c r="Q37" s="366"/>
      <c r="R37" s="366"/>
      <c r="S37" s="366"/>
      <c r="T37" s="366"/>
      <c r="U37" s="366"/>
      <c r="V37" s="366"/>
      <c r="W37" s="470" t="s">
        <v>2539</v>
      </c>
      <c r="X37" s="366"/>
      <c r="Y37" s="366"/>
      <c r="Z37" s="366"/>
      <c r="AA37" s="366"/>
      <c r="AB37" s="366"/>
      <c r="AC37" s="366"/>
      <c r="AD37" s="367"/>
      <c r="AE37" s="410"/>
      <c r="AH37" s="364"/>
    </row>
    <row r="38" spans="1:34" ht="13.5" customHeight="1" x14ac:dyDescent="0.25">
      <c r="A38" s="412">
        <v>3</v>
      </c>
      <c r="B38" s="366" t="s">
        <v>2510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7"/>
      <c r="P38" s="366"/>
      <c r="Q38" s="366"/>
      <c r="R38" s="366"/>
      <c r="S38" s="366"/>
      <c r="T38" s="366"/>
      <c r="U38" s="366"/>
      <c r="V38" s="366"/>
      <c r="W38" s="463" t="s">
        <v>2563</v>
      </c>
      <c r="X38" s="366"/>
      <c r="Y38" s="366"/>
      <c r="Z38" s="366"/>
      <c r="AA38" s="366"/>
      <c r="AB38" s="366"/>
      <c r="AC38" s="366"/>
      <c r="AD38" s="367"/>
      <c r="AE38" s="410"/>
      <c r="AG38" s="411"/>
      <c r="AH38" s="364"/>
    </row>
    <row r="39" spans="1:34" ht="13.5" customHeight="1" x14ac:dyDescent="0.25">
      <c r="A39" s="412">
        <v>4</v>
      </c>
      <c r="B39" s="366" t="s">
        <v>2511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  <c r="P39" s="412"/>
      <c r="Q39" s="366"/>
      <c r="R39" s="366"/>
      <c r="S39" s="366"/>
      <c r="T39" s="366"/>
      <c r="U39" s="366"/>
      <c r="V39" s="366"/>
      <c r="W39" s="463" t="s">
        <v>2564</v>
      </c>
      <c r="X39" s="366"/>
      <c r="Y39" s="366"/>
      <c r="Z39" s="366"/>
      <c r="AA39" s="366"/>
      <c r="AB39" s="366"/>
      <c r="AC39" s="366"/>
      <c r="AD39" s="367"/>
      <c r="AH39" s="364"/>
    </row>
    <row r="40" spans="1:34" ht="14.25" customHeight="1" x14ac:dyDescent="0.25">
      <c r="A40" s="412">
        <v>5</v>
      </c>
      <c r="B40" s="366" t="s">
        <v>2512</v>
      </c>
      <c r="C40" s="366"/>
      <c r="D40" s="366"/>
      <c r="E40" s="366"/>
      <c r="F40" s="366"/>
      <c r="G40" s="472"/>
      <c r="H40" s="472" t="s">
        <v>2520</v>
      </c>
      <c r="I40" s="473"/>
      <c r="J40" s="366"/>
      <c r="K40" s="366"/>
      <c r="L40" s="366"/>
      <c r="M40" s="366"/>
      <c r="N40" s="366"/>
      <c r="O40" s="474"/>
      <c r="P40" s="366">
        <v>4</v>
      </c>
      <c r="Q40" s="366" t="s">
        <v>2527</v>
      </c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7"/>
      <c r="AH40" s="364"/>
    </row>
    <row r="41" spans="1:34" ht="6.75" customHeight="1" x14ac:dyDescent="0.25">
      <c r="A41" s="412"/>
      <c r="B41" s="445"/>
      <c r="C41" s="445"/>
      <c r="D41" s="445"/>
      <c r="E41" s="445"/>
      <c r="F41" s="445"/>
      <c r="G41" s="472"/>
      <c r="H41" s="475" t="s">
        <v>2530</v>
      </c>
      <c r="I41" s="472"/>
      <c r="J41" s="445"/>
      <c r="K41" s="445"/>
      <c r="L41" s="445"/>
      <c r="M41" s="366"/>
      <c r="N41" s="366"/>
      <c r="O41" s="367"/>
      <c r="P41" s="366"/>
      <c r="Q41" s="476" t="s">
        <v>2545</v>
      </c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7"/>
      <c r="AH41" s="364"/>
    </row>
    <row r="42" spans="1:34" x14ac:dyDescent="0.25">
      <c r="A42" s="412">
        <v>6</v>
      </c>
      <c r="B42" s="366" t="s">
        <v>2513</v>
      </c>
      <c r="C42" s="366"/>
      <c r="D42" s="366"/>
      <c r="E42" s="366"/>
      <c r="F42" s="366"/>
      <c r="G42" s="366"/>
      <c r="H42" s="366"/>
      <c r="I42" s="366"/>
      <c r="J42" s="366"/>
      <c r="K42" s="472"/>
      <c r="L42" s="472"/>
      <c r="M42" s="366"/>
      <c r="N42" s="366"/>
      <c r="O42" s="367"/>
      <c r="P42" s="366"/>
      <c r="Q42" s="472" t="s">
        <v>2541</v>
      </c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7"/>
      <c r="AH42" s="365"/>
    </row>
    <row r="43" spans="1:34" x14ac:dyDescent="0.25">
      <c r="A43" s="412">
        <v>7</v>
      </c>
      <c r="B43" s="366" t="s">
        <v>2514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7"/>
      <c r="P43" s="412"/>
      <c r="Q43" s="366" t="s">
        <v>2556</v>
      </c>
      <c r="R43" s="477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7"/>
      <c r="AH43" s="364"/>
    </row>
    <row r="44" spans="1:34" ht="12.75" customHeight="1" x14ac:dyDescent="0.25">
      <c r="A44" s="412"/>
      <c r="B44" s="463" t="s">
        <v>2515</v>
      </c>
      <c r="C44" s="445"/>
      <c r="D44" s="445"/>
      <c r="E44" s="472"/>
      <c r="F44" s="445"/>
      <c r="G44" s="445"/>
      <c r="H44" s="445"/>
      <c r="I44" s="445"/>
      <c r="J44" s="445"/>
      <c r="K44" s="366"/>
      <c r="L44" s="366"/>
      <c r="M44" s="366"/>
      <c r="N44" s="366"/>
      <c r="O44" s="367"/>
      <c r="P44" s="366"/>
      <c r="Q44" s="476" t="s">
        <v>2558</v>
      </c>
      <c r="R44" s="47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7"/>
      <c r="AH44" s="364"/>
    </row>
    <row r="45" spans="1:34" ht="12.75" customHeight="1" x14ac:dyDescent="0.25">
      <c r="A45" s="464">
        <v>8</v>
      </c>
      <c r="B45" s="462" t="s">
        <v>2516</v>
      </c>
      <c r="C45" s="445"/>
      <c r="D45" s="445"/>
      <c r="E45" s="478"/>
      <c r="F45" s="479" t="s">
        <v>2528</v>
      </c>
      <c r="G45" s="445"/>
      <c r="H45" s="445"/>
      <c r="I45" s="445"/>
      <c r="J45" s="445"/>
      <c r="K45" s="445"/>
      <c r="L45" s="445"/>
      <c r="M45" s="445"/>
      <c r="N45" s="445"/>
      <c r="O45" s="447"/>
      <c r="P45" s="366"/>
      <c r="Q45" s="476" t="s">
        <v>2572</v>
      </c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7"/>
      <c r="AH45" s="364"/>
    </row>
    <row r="46" spans="1:34" ht="12.75" customHeight="1" x14ac:dyDescent="0.25">
      <c r="A46" s="412"/>
      <c r="B46" s="366"/>
      <c r="C46" s="477" t="s">
        <v>2555</v>
      </c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7"/>
      <c r="P46" s="412"/>
      <c r="Q46" s="476" t="s">
        <v>2559</v>
      </c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7"/>
      <c r="AE46" s="410"/>
      <c r="AH46" s="364"/>
    </row>
    <row r="47" spans="1:34" ht="14.25" customHeight="1" x14ac:dyDescent="0.25">
      <c r="A47" s="412"/>
      <c r="B47" s="476" t="s">
        <v>2536</v>
      </c>
      <c r="C47" s="47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7"/>
      <c r="P47" s="451"/>
      <c r="Q47" s="476" t="s">
        <v>2566</v>
      </c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3"/>
      <c r="AE47" s="410"/>
      <c r="AH47" s="364"/>
    </row>
    <row r="48" spans="1:34" ht="14.25" customHeight="1" x14ac:dyDescent="0.25">
      <c r="A48" s="412"/>
      <c r="B48" s="476" t="s">
        <v>2521</v>
      </c>
      <c r="C48" s="47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7"/>
      <c r="P48" s="439"/>
      <c r="Q48" s="454" t="s">
        <v>2557</v>
      </c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40"/>
      <c r="AE48" s="410"/>
      <c r="AH48" s="364"/>
    </row>
    <row r="49" spans="1:34" ht="11.25" customHeight="1" x14ac:dyDescent="0.25">
      <c r="A49" s="412"/>
      <c r="B49" s="476" t="s">
        <v>2522</v>
      </c>
      <c r="C49" s="47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7"/>
      <c r="P49" s="472"/>
      <c r="Q49" s="472" t="s">
        <v>2573</v>
      </c>
      <c r="R49" s="472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7"/>
      <c r="AE49" s="410"/>
      <c r="AH49" s="364"/>
    </row>
    <row r="50" spans="1:34" ht="11.25" customHeight="1" x14ac:dyDescent="0.25">
      <c r="A50" s="412"/>
      <c r="B50" s="476" t="s">
        <v>2524</v>
      </c>
      <c r="C50" s="47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7"/>
      <c r="P50" s="480"/>
      <c r="Q50" s="472" t="s">
        <v>2568</v>
      </c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7"/>
      <c r="AE50" s="410"/>
      <c r="AH50" s="364"/>
    </row>
    <row r="51" spans="1:34" ht="11.25" customHeight="1" x14ac:dyDescent="0.25">
      <c r="A51" s="412"/>
      <c r="B51" s="476" t="s">
        <v>2523</v>
      </c>
      <c r="C51" s="47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7"/>
      <c r="P51" s="472"/>
      <c r="Q51" s="472" t="s">
        <v>2570</v>
      </c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  <c r="AC51" s="366"/>
      <c r="AD51" s="367"/>
      <c r="AE51" s="410"/>
      <c r="AH51" s="364"/>
    </row>
    <row r="52" spans="1:34" ht="11.25" customHeight="1" x14ac:dyDescent="0.25">
      <c r="A52" s="412"/>
      <c r="B52" s="481" t="s">
        <v>2576</v>
      </c>
      <c r="C52" s="47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412"/>
      <c r="Q52" s="472" t="s">
        <v>2569</v>
      </c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7"/>
      <c r="AE52" s="410"/>
      <c r="AH52" s="364"/>
    </row>
    <row r="53" spans="1:34" ht="11.25" customHeight="1" x14ac:dyDescent="0.25">
      <c r="A53" s="482"/>
      <c r="B53" s="451"/>
      <c r="C53" s="483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82"/>
      <c r="Q53" s="472" t="s">
        <v>2571</v>
      </c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3"/>
      <c r="AE53" s="410"/>
      <c r="AH53" s="364"/>
    </row>
    <row r="54" spans="1:34" ht="10.5" customHeight="1" x14ac:dyDescent="0.25">
      <c r="A54" s="712" t="s">
        <v>2504</v>
      </c>
      <c r="B54" s="713"/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4"/>
      <c r="AH54" s="364"/>
    </row>
    <row r="55" spans="1:34" ht="12.75" customHeight="1" x14ac:dyDescent="0.25">
      <c r="A55" s="484" t="s">
        <v>2470</v>
      </c>
      <c r="B55" s="485"/>
      <c r="C55" s="485"/>
      <c r="D55" s="485"/>
      <c r="E55" s="485"/>
      <c r="F55" s="715">
        <f>'hoofdformulier veilig werken'!A50</f>
        <v>0</v>
      </c>
      <c r="G55" s="716"/>
      <c r="H55" s="716"/>
      <c r="I55" s="716"/>
      <c r="J55" s="716"/>
      <c r="K55" s="716"/>
      <c r="L55" s="716"/>
      <c r="M55" s="716"/>
      <c r="N55" s="716"/>
      <c r="O55" s="717"/>
      <c r="P55" s="484" t="s">
        <v>2470</v>
      </c>
      <c r="Q55" s="485"/>
      <c r="R55" s="485"/>
      <c r="S55" s="485"/>
      <c r="T55" s="485"/>
      <c r="U55" s="664"/>
      <c r="V55" s="665"/>
      <c r="W55" s="665"/>
      <c r="X55" s="665"/>
      <c r="Y55" s="665"/>
      <c r="Z55" s="665"/>
      <c r="AA55" s="665"/>
      <c r="AB55" s="665"/>
      <c r="AC55" s="665"/>
      <c r="AD55" s="666"/>
      <c r="AH55" s="364"/>
    </row>
    <row r="56" spans="1:34" ht="11.25" customHeight="1" x14ac:dyDescent="0.25">
      <c r="A56" s="486" t="s">
        <v>2471</v>
      </c>
      <c r="B56" s="366"/>
      <c r="C56" s="366"/>
      <c r="D56" s="366"/>
      <c r="E56" s="366"/>
      <c r="F56" s="658"/>
      <c r="G56" s="659"/>
      <c r="H56" s="659"/>
      <c r="I56" s="659"/>
      <c r="J56" s="659"/>
      <c r="K56" s="659"/>
      <c r="L56" s="659"/>
      <c r="M56" s="659"/>
      <c r="N56" s="659"/>
      <c r="O56" s="660"/>
      <c r="P56" s="486" t="s">
        <v>2471</v>
      </c>
      <c r="Q56" s="366"/>
      <c r="R56" s="366"/>
      <c r="S56" s="366"/>
      <c r="T56" s="366"/>
      <c r="U56" s="658"/>
      <c r="V56" s="659"/>
      <c r="W56" s="659"/>
      <c r="X56" s="659"/>
      <c r="Y56" s="659"/>
      <c r="Z56" s="659"/>
      <c r="AA56" s="659"/>
      <c r="AB56" s="659"/>
      <c r="AC56" s="659"/>
      <c r="AD56" s="660"/>
      <c r="AH56" s="365"/>
    </row>
    <row r="57" spans="1:34" ht="8.25" customHeight="1" x14ac:dyDescent="0.25">
      <c r="A57" s="482"/>
      <c r="B57" s="451"/>
      <c r="C57" s="451"/>
      <c r="D57" s="451"/>
      <c r="E57" s="451"/>
      <c r="F57" s="661"/>
      <c r="G57" s="662"/>
      <c r="H57" s="662"/>
      <c r="I57" s="662"/>
      <c r="J57" s="662"/>
      <c r="K57" s="662"/>
      <c r="L57" s="662"/>
      <c r="M57" s="662"/>
      <c r="N57" s="662"/>
      <c r="O57" s="663"/>
      <c r="P57" s="451"/>
      <c r="Q57" s="451"/>
      <c r="R57" s="451"/>
      <c r="S57" s="451"/>
      <c r="T57" s="451"/>
      <c r="U57" s="661"/>
      <c r="V57" s="662"/>
      <c r="W57" s="662"/>
      <c r="X57" s="662"/>
      <c r="Y57" s="662"/>
      <c r="Z57" s="662"/>
      <c r="AA57" s="662"/>
      <c r="AB57" s="662"/>
      <c r="AC57" s="662"/>
      <c r="AD57" s="663"/>
    </row>
  </sheetData>
  <sheetProtection selectLockedCells="1"/>
  <mergeCells count="69">
    <mergeCell ref="A54:AD54"/>
    <mergeCell ref="F55:O55"/>
    <mergeCell ref="A21:O21"/>
    <mergeCell ref="A22:O22"/>
    <mergeCell ref="A23:O23"/>
    <mergeCell ref="A24:O24"/>
    <mergeCell ref="A25:O25"/>
    <mergeCell ref="B28:O28"/>
    <mergeCell ref="AC16:AD16"/>
    <mergeCell ref="C14:N15"/>
    <mergeCell ref="P20:R20"/>
    <mergeCell ref="S20:U20"/>
    <mergeCell ref="V20:X20"/>
    <mergeCell ref="Y20:AA20"/>
    <mergeCell ref="P14:Q14"/>
    <mergeCell ref="S14:T14"/>
    <mergeCell ref="V14:W14"/>
    <mergeCell ref="Y14:Z14"/>
    <mergeCell ref="P16:R16"/>
    <mergeCell ref="S16:U16"/>
    <mergeCell ref="V16:X16"/>
    <mergeCell ref="Y16:AA16"/>
    <mergeCell ref="P17:R17"/>
    <mergeCell ref="S17:U17"/>
    <mergeCell ref="V17:X17"/>
    <mergeCell ref="Y17:AA17"/>
    <mergeCell ref="AC20:AD20"/>
    <mergeCell ref="AC18:AD18"/>
    <mergeCell ref="P19:R19"/>
    <mergeCell ref="S19:U19"/>
    <mergeCell ref="V19:X19"/>
    <mergeCell ref="Y19:AA19"/>
    <mergeCell ref="P18:R18"/>
    <mergeCell ref="S18:U18"/>
    <mergeCell ref="V18:X18"/>
    <mergeCell ref="Y18:AA18"/>
    <mergeCell ref="P13:R13"/>
    <mergeCell ref="S13:U13"/>
    <mergeCell ref="V13:X13"/>
    <mergeCell ref="Y13:AA13"/>
    <mergeCell ref="P15:R15"/>
    <mergeCell ref="S15:U15"/>
    <mergeCell ref="V15:X15"/>
    <mergeCell ref="Y15:AA15"/>
    <mergeCell ref="F8:I8"/>
    <mergeCell ref="J8:K8"/>
    <mergeCell ref="L8:M8"/>
    <mergeCell ref="N8:AD8"/>
    <mergeCell ref="A9:E9"/>
    <mergeCell ref="F9:I9"/>
    <mergeCell ref="J9:K9"/>
    <mergeCell ref="L9:M9"/>
    <mergeCell ref="N9:AD9"/>
    <mergeCell ref="F56:O57"/>
    <mergeCell ref="U56:AD57"/>
    <mergeCell ref="U55:AD55"/>
    <mergeCell ref="AJ2:AL2"/>
    <mergeCell ref="A1:AD1"/>
    <mergeCell ref="A2:AD2"/>
    <mergeCell ref="A3:C3"/>
    <mergeCell ref="D3:AD3"/>
    <mergeCell ref="A4:F4"/>
    <mergeCell ref="G4:AD4"/>
    <mergeCell ref="A10:AD10"/>
    <mergeCell ref="G5:AD5"/>
    <mergeCell ref="G6:AD6"/>
    <mergeCell ref="A7:J7"/>
    <mergeCell ref="K7:AD7"/>
    <mergeCell ref="A8:E8"/>
  </mergeCells>
  <conditionalFormatting sqref="P16:AA16">
    <cfRule type="expression" dxfId="6" priority="4">
      <formula>$AI$13=TRUE</formula>
    </cfRule>
    <cfRule type="expression" dxfId="5" priority="5">
      <formula>OR(P$16=1,$P$14&lt;=2)=TRUE</formula>
    </cfRule>
  </conditionalFormatting>
  <conditionalFormatting sqref="P18:X18">
    <cfRule type="expression" dxfId="4" priority="8">
      <formula>AND(P$18=1,$P$14&gt;2)=TRUE</formula>
    </cfRule>
  </conditionalFormatting>
  <conditionalFormatting sqref="P20:AA20">
    <cfRule type="expression" dxfId="3" priority="7">
      <formula>AND(P$20=1,$P$14&gt;2)=TRUE</formula>
    </cfRule>
  </conditionalFormatting>
  <conditionalFormatting sqref="A13:A1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expression" dxfId="2" priority="3">
      <formula>$W$26="controle voor gebruik op 4 punten"</formula>
    </cfRule>
  </conditionalFormatting>
  <conditionalFormatting sqref="V26">
    <cfRule type="expression" dxfId="1" priority="2">
      <formula>$W$26="controle voor gebruik op 4 punten"</formula>
    </cfRule>
  </conditionalFormatting>
  <conditionalFormatting sqref="P22:P24">
    <cfRule type="expression" dxfId="0" priority="1">
      <formula>$P22="þ"</formula>
    </cfRule>
  </conditionalFormatting>
  <hyperlinks>
    <hyperlink ref="AJ2" location="'hoofdformulier veilig werken'!A1" display="invullen in hoofdformulier"/>
  </hyperlink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72" r:id="rId4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17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19050</xdr:rowOff>
                  </from>
                  <to>
                    <xdr:col>2</xdr:col>
                    <xdr:colOff>161925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161925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8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1" r:id="rId9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5" r:id="rId10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171450</xdr:rowOff>
                  </from>
                  <to>
                    <xdr:col>2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6" r:id="rId11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171450</xdr:rowOff>
                  </from>
                  <to>
                    <xdr:col>17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7" r:id="rId12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2</xdr:col>
                    <xdr:colOff>9525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8" r:id="rId13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180975</xdr:rowOff>
                  </from>
                  <to>
                    <xdr:col>2</xdr:col>
                    <xdr:colOff>161925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9" r:id="rId14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142875</xdr:rowOff>
                  </from>
                  <to>
                    <xdr:col>2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1" r:id="rId15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2" r:id="rId16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171450</xdr:rowOff>
                  </from>
                  <to>
                    <xdr:col>2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6" r:id="rId17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2</xdr:col>
                    <xdr:colOff>161925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7" r:id="rId18" name="Check Box 53">
              <controlPr defaultSize="0" autoFill="0" autoLine="0" autoPict="0">
                <anchor moveWithCells="1">
                  <from>
                    <xdr:col>0</xdr:col>
                    <xdr:colOff>142875</xdr:colOff>
                    <xdr:row>34</xdr:row>
                    <xdr:rowOff>0</xdr:rowOff>
                  </from>
                  <to>
                    <xdr:col>2</xdr:col>
                    <xdr:colOff>152400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8" r:id="rId19" name="Check Box 54">
              <controlPr defaultSize="0" autoFill="0" autoLine="0" autoPict="0">
                <anchor moveWithCells="1">
                  <from>
                    <xdr:col>15</xdr:col>
                    <xdr:colOff>85725</xdr:colOff>
                    <xdr:row>25</xdr:row>
                    <xdr:rowOff>180975</xdr:rowOff>
                  </from>
                  <to>
                    <xdr:col>17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5" r:id="rId20" name="Check Box 61">
              <controlPr defaultSize="0" autoFill="0" autoLine="0" autoPict="0">
                <anchor moveWithCells="1">
                  <from>
                    <xdr:col>15</xdr:col>
                    <xdr:colOff>76200</xdr:colOff>
                    <xdr:row>41</xdr:row>
                    <xdr:rowOff>180975</xdr:rowOff>
                  </from>
                  <to>
                    <xdr:col>17</xdr:col>
                    <xdr:colOff>114300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0" r:id="rId21" name="Check Box 66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152400</xdr:rowOff>
                  </from>
                  <to>
                    <xdr:col>17</xdr:col>
                    <xdr:colOff>38100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DC218"/>
  <sheetViews>
    <sheetView workbookViewId="0"/>
  </sheetViews>
  <sheetFormatPr defaultRowHeight="15" x14ac:dyDescent="0.25"/>
  <sheetData>
    <row r="1" spans="1:72" ht="21" x14ac:dyDescent="0.25">
      <c r="A1" s="507" t="s">
        <v>320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9"/>
      <c r="S1" s="305"/>
      <c r="T1" s="305"/>
      <c r="U1" s="305" t="s">
        <v>21</v>
      </c>
      <c r="V1" s="305"/>
      <c r="W1" s="305"/>
      <c r="X1" s="305"/>
      <c r="Y1" s="305"/>
      <c r="Z1" s="305"/>
      <c r="AA1" s="305"/>
      <c r="AB1" s="305"/>
      <c r="AE1" s="304" t="b">
        <f>OR(AF1)</f>
        <v>0</v>
      </c>
      <c r="AF1" s="304" t="b">
        <f>OR($B$4=U1,$B$5=U1,$B$6=U1,$B$7=U1,$B$8=U1,$B$9=U1)</f>
        <v>0</v>
      </c>
    </row>
    <row r="2" spans="1:72" ht="21" x14ac:dyDescent="0.25">
      <c r="A2" s="223"/>
      <c r="B2" s="291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225"/>
      <c r="N2" s="224"/>
      <c r="O2" s="226"/>
      <c r="P2" s="237"/>
      <c r="Q2" s="225" t="s">
        <v>2228</v>
      </c>
      <c r="R2" s="287" t="s">
        <v>1329</v>
      </c>
      <c r="S2" s="305"/>
      <c r="T2" s="305"/>
      <c r="U2" s="305"/>
      <c r="V2" s="305"/>
      <c r="W2" s="305"/>
      <c r="X2" s="305"/>
      <c r="Y2" s="305"/>
      <c r="Z2" s="305"/>
      <c r="AA2" s="305"/>
      <c r="AB2" s="305"/>
    </row>
    <row r="3" spans="1:72" x14ac:dyDescent="0.25">
      <c r="A3" s="280" t="s">
        <v>654</v>
      </c>
      <c r="B3" s="294" t="e">
        <f>[1]data!I2</f>
        <v>#REF!</v>
      </c>
      <c r="C3" s="514" t="s">
        <v>242</v>
      </c>
      <c r="D3" s="514"/>
      <c r="E3" s="514"/>
      <c r="F3" s="514"/>
      <c r="G3" s="514"/>
      <c r="H3" s="514"/>
      <c r="I3" s="514"/>
      <c r="J3" s="514"/>
      <c r="K3" s="514"/>
      <c r="L3" s="514"/>
      <c r="M3" s="228" t="s">
        <v>241</v>
      </c>
      <c r="N3" s="513" t="s">
        <v>820</v>
      </c>
      <c r="O3" s="514"/>
      <c r="P3" s="514"/>
      <c r="Q3" s="514"/>
      <c r="R3" s="515"/>
      <c r="S3" s="234"/>
      <c r="T3" s="234"/>
      <c r="U3" s="234" t="s">
        <v>21</v>
      </c>
      <c r="V3" s="234"/>
      <c r="W3" s="234"/>
      <c r="X3" s="234"/>
      <c r="Y3" s="234"/>
      <c r="Z3" s="234"/>
      <c r="AA3" s="234"/>
      <c r="AB3" s="234"/>
      <c r="AC3" s="234"/>
      <c r="AD3" s="234"/>
      <c r="AE3" s="234" t="b">
        <f>OR(AF3)</f>
        <v>0</v>
      </c>
      <c r="AF3" s="234" t="b">
        <f t="shared" ref="AF3:AF9" si="0">OR($B$4=U3,$B$5=U3,$B$6=U3,$B$7=U3,$B$8=U3,$B$9=U3)</f>
        <v>0</v>
      </c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314"/>
      <c r="BO3" s="234"/>
      <c r="BP3" s="234"/>
      <c r="BQ3" s="234"/>
      <c r="BR3" s="234"/>
      <c r="BS3" s="234"/>
      <c r="BT3" s="234"/>
    </row>
    <row r="4" spans="1:72" x14ac:dyDescent="0.25">
      <c r="A4" s="62"/>
      <c r="B4" s="356">
        <f>'hoofdformulier veilig werken'!Q33</f>
        <v>0</v>
      </c>
      <c r="C4" s="527">
        <f>IF(B4=0,0,VLOOKUP(B4,'H phrases'!$B$2:$I$98,IF($R$2='H phrases'!$A$2,2,IF($R$2='H phrases'!$A$3,3,IF($R$2='H phrases'!$A$4,4,IF($R$2='H phrases'!$A$5,5,IF($R$2='H phrases'!$A$6,6,IF($R$2='H phrases'!$A$7,7,IF($R$2='H phrases'!$A$8,8,2))))))),FALSE))</f>
        <v>0</v>
      </c>
      <c r="D4" s="527"/>
      <c r="E4" s="527"/>
      <c r="F4" s="527"/>
      <c r="G4" s="527"/>
      <c r="H4" s="527"/>
      <c r="I4" s="527"/>
      <c r="J4" s="527"/>
      <c r="K4" s="527"/>
      <c r="L4" s="528"/>
      <c r="M4" s="206">
        <f>AR27</f>
        <v>0</v>
      </c>
      <c r="N4" s="89"/>
      <c r="O4" s="89"/>
      <c r="P4" s="272"/>
      <c r="Q4" s="273">
        <f>'MCB Policy'!A26</f>
        <v>0</v>
      </c>
      <c r="R4" s="289" t="s">
        <v>555</v>
      </c>
      <c r="S4" s="305"/>
      <c r="T4" s="305"/>
      <c r="U4" s="305" t="s">
        <v>33</v>
      </c>
      <c r="V4" s="305" t="s">
        <v>34</v>
      </c>
      <c r="W4" s="305" t="s">
        <v>35</v>
      </c>
      <c r="X4" s="305" t="s">
        <v>42</v>
      </c>
      <c r="Y4" s="305" t="s">
        <v>57</v>
      </c>
      <c r="Z4" s="305" t="s">
        <v>58</v>
      </c>
      <c r="AA4" s="305" t="s">
        <v>63</v>
      </c>
      <c r="AB4" s="305"/>
      <c r="AE4" s="304" t="b">
        <f>OR(AF4:AM4)</f>
        <v>0</v>
      </c>
      <c r="AF4" s="304" t="b">
        <f t="shared" si="0"/>
        <v>0</v>
      </c>
      <c r="AG4" s="304" t="b">
        <f>OR($B$4=V4,$B$5=V4,$B$6=V4,$B$7=V4,$B$8=V4,$B$9=V4)</f>
        <v>0</v>
      </c>
      <c r="AH4" s="304" t="b">
        <f>OR($B$4=W4,$B$5=W4,$B$6=W4,$B$7=W4,$B$8=W4,$B$9=W4)</f>
        <v>0</v>
      </c>
      <c r="AI4" s="304" t="b">
        <f>OR($B$4=X4,$B$5=X4,$B$6=X4,$B$7=X4,$B$8=X4,$B$9=X4)</f>
        <v>0</v>
      </c>
      <c r="AK4" s="304" t="b">
        <f>OR($B$4=Y4,$B$5=Y4,$B$6=Y4,$B$7=Y4,$B$8=Y4,$B$9=Y4)</f>
        <v>0</v>
      </c>
      <c r="AL4" s="304" t="b">
        <f>OR($B$4=Z4,$B$5=Z4,$B$6=Z4,$B$7=Z4,$B$8=Z4,$B$9=Z4)</f>
        <v>0</v>
      </c>
      <c r="AM4" s="304" t="b">
        <f>OR($B$4=AA4,$B$5=AA4,$B$6=AA4,$B$7=AA4,$B$8=AA4,$B$9=AA4)</f>
        <v>0</v>
      </c>
    </row>
    <row r="5" spans="1:72" ht="15.75" x14ac:dyDescent="0.25">
      <c r="A5" s="62"/>
      <c r="B5" s="356">
        <f>'hoofdformulier veilig werken'!S33</f>
        <v>0</v>
      </c>
      <c r="C5" s="527">
        <f>IF(B5=0,0,VLOOKUP(B5,'H phrases'!$B$2:$I$98,IF($R$2='H phrases'!$A$2,2,IF($R$2='H phrases'!$A$3,3,IF($R$2='H phrases'!$A$4,4,IF($R$2='H phrases'!$A$5,5,IF($R$2='H phrases'!$A$6,6,IF($R$2='H phrases'!$A$7,7,IF($R$2='H phrases'!$A$8,8,2))))))),FALSE))</f>
        <v>0</v>
      </c>
      <c r="D5" s="527"/>
      <c r="E5" s="527"/>
      <c r="F5" s="527"/>
      <c r="G5" s="527"/>
      <c r="H5" s="527"/>
      <c r="I5" s="527"/>
      <c r="J5" s="527"/>
      <c r="K5" s="527"/>
      <c r="L5" s="528"/>
      <c r="M5" s="526" t="str">
        <f>'MCB Policy'!F26</f>
        <v>Allowed</v>
      </c>
      <c r="N5" s="89"/>
      <c r="O5" s="89"/>
      <c r="P5" s="272"/>
      <c r="Q5" s="273">
        <f>'MCB Policy'!A27</f>
        <v>0</v>
      </c>
      <c r="R5" s="289" t="s">
        <v>555</v>
      </c>
      <c r="S5" s="305"/>
      <c r="T5" s="305"/>
      <c r="U5" s="305" t="s">
        <v>33</v>
      </c>
      <c r="V5" s="305" t="s">
        <v>34</v>
      </c>
      <c r="W5" s="305"/>
      <c r="X5" s="305"/>
      <c r="Y5" s="305"/>
      <c r="Z5" s="305"/>
      <c r="AA5" s="305"/>
      <c r="AB5" s="305"/>
      <c r="AE5" s="304" t="b">
        <f>OR(AF5:AG5)</f>
        <v>0</v>
      </c>
      <c r="AF5" s="304" t="b">
        <f t="shared" si="0"/>
        <v>0</v>
      </c>
      <c r="AG5" s="304" t="b">
        <f>OR($B$4=V5,$B$5=V5,$B$6=V5,$B$7=V5,$B$8=V5,$B$9=V5)</f>
        <v>0</v>
      </c>
      <c r="AN5" s="305" t="s">
        <v>249</v>
      </c>
      <c r="AO5" s="305" t="s">
        <v>14</v>
      </c>
      <c r="AP5" s="305"/>
      <c r="AQ5" s="305"/>
      <c r="AR5" s="305"/>
      <c r="AS5" s="305"/>
      <c r="AT5" s="305"/>
      <c r="AU5" s="305"/>
      <c r="AX5" s="304" t="b">
        <f>OR(AY5:AZ5)</f>
        <v>0</v>
      </c>
      <c r="AY5" s="304" t="b">
        <f t="shared" ref="AY5:AZ7" si="1">OR($B$4=AN5,$B$5=AN5,$B$6=AN5,$B$7=AN5,$B$8=AN5,$B$9=AN5)</f>
        <v>0</v>
      </c>
      <c r="AZ5" s="304" t="b">
        <f t="shared" si="1"/>
        <v>0</v>
      </c>
    </row>
    <row r="6" spans="1:72" ht="15.75" x14ac:dyDescent="0.25">
      <c r="A6" s="62"/>
      <c r="B6" s="356">
        <f>'hoofdformulier veilig werken'!U33</f>
        <v>0</v>
      </c>
      <c r="C6" s="527">
        <f>IF(B6=0,0,VLOOKUP(B6,'H phrases'!$B$2:$I$98,IF($R$2='H phrases'!$A$2,2,IF($R$2='H phrases'!$A$3,3,IF($R$2='H phrases'!$A$4,4,IF($R$2='H phrases'!$A$5,5,IF($R$2='H phrases'!$A$6,6,IF($R$2='H phrases'!$A$7,7,IF($R$2='H phrases'!$A$8,8,2))))))),FALSE))</f>
        <v>0</v>
      </c>
      <c r="D6" s="527"/>
      <c r="E6" s="527"/>
      <c r="F6" s="527"/>
      <c r="G6" s="527"/>
      <c r="H6" s="527"/>
      <c r="I6" s="527"/>
      <c r="J6" s="527"/>
      <c r="K6" s="527"/>
      <c r="L6" s="528"/>
      <c r="M6" s="526"/>
      <c r="N6" s="89"/>
      <c r="O6" s="89"/>
      <c r="P6" s="272"/>
      <c r="Q6" s="273">
        <f>'MCB Policy'!A28</f>
        <v>0</v>
      </c>
      <c r="R6" s="289" t="s">
        <v>555</v>
      </c>
      <c r="S6" s="305"/>
      <c r="T6" s="305"/>
      <c r="U6" s="305" t="s">
        <v>42</v>
      </c>
      <c r="V6" s="305" t="s">
        <v>52</v>
      </c>
      <c r="W6" s="305"/>
      <c r="X6" s="305"/>
      <c r="Y6" s="305"/>
      <c r="Z6" s="305"/>
      <c r="AA6" s="305"/>
      <c r="AB6" s="305"/>
      <c r="AE6" s="304" t="b">
        <f>OR(AF6:AG6)</f>
        <v>0</v>
      </c>
      <c r="AF6" s="304" t="b">
        <f t="shared" si="0"/>
        <v>0</v>
      </c>
      <c r="AG6" s="304" t="b">
        <f>OR($B$4=V6,$B$5=V6,$B$6=V6,$B$7=V6,$B$8=V6,$B$9=V6)</f>
        <v>0</v>
      </c>
      <c r="AN6" s="305" t="s">
        <v>33</v>
      </c>
      <c r="AO6" s="305" t="s">
        <v>34</v>
      </c>
      <c r="AP6" s="305"/>
      <c r="AQ6" s="305"/>
      <c r="AR6" s="305"/>
      <c r="AS6" s="305"/>
      <c r="AT6" s="305"/>
      <c r="AU6" s="305"/>
      <c r="AX6" s="304" t="b">
        <f>OR(AY6:AZ6)</f>
        <v>0</v>
      </c>
      <c r="AY6" s="304" t="b">
        <f t="shared" si="1"/>
        <v>0</v>
      </c>
      <c r="AZ6" s="304" t="b">
        <f t="shared" si="1"/>
        <v>0</v>
      </c>
    </row>
    <row r="7" spans="1:72" ht="15.75" x14ac:dyDescent="0.25">
      <c r="A7" s="62"/>
      <c r="B7" s="356">
        <f>'hoofdformulier veilig werken'!W33</f>
        <v>0</v>
      </c>
      <c r="C7" s="527">
        <f>IF(B7=0,0,VLOOKUP(B7,'H phrases'!$B$2:$I$98,IF($R$2='H phrases'!$A$2,2,IF($R$2='H phrases'!$A$3,3,IF($R$2='H phrases'!$A$4,4,IF($R$2='H phrases'!$A$5,5,IF($R$2='H phrases'!$A$6,6,IF($R$2='H phrases'!$A$7,7,IF($R$2='H phrases'!$A$8,8,2))))))),FALSE))</f>
        <v>0</v>
      </c>
      <c r="D7" s="527"/>
      <c r="E7" s="527"/>
      <c r="F7" s="527"/>
      <c r="G7" s="527"/>
      <c r="H7" s="527"/>
      <c r="I7" s="527"/>
      <c r="J7" s="527"/>
      <c r="K7" s="527"/>
      <c r="L7" s="528"/>
      <c r="M7" s="526"/>
      <c r="N7" s="89"/>
      <c r="O7" s="89"/>
      <c r="P7" s="272"/>
      <c r="Q7" s="273">
        <f>'MCB Policy'!A29</f>
        <v>0</v>
      </c>
      <c r="R7" s="289" t="s">
        <v>555</v>
      </c>
      <c r="S7" s="305"/>
      <c r="T7" s="305"/>
      <c r="U7" s="305" t="s">
        <v>57</v>
      </c>
      <c r="V7" s="305"/>
      <c r="W7" s="305"/>
      <c r="X7" s="305"/>
      <c r="Y7" s="305"/>
      <c r="Z7" s="305"/>
      <c r="AA7" s="305"/>
      <c r="AB7" s="305"/>
      <c r="AE7" s="304" t="b">
        <f>OR(AF7)</f>
        <v>0</v>
      </c>
      <c r="AF7" s="304" t="b">
        <f t="shared" si="0"/>
        <v>0</v>
      </c>
      <c r="AN7" s="304" t="s">
        <v>69</v>
      </c>
      <c r="AO7" s="304" t="s">
        <v>76</v>
      </c>
      <c r="AP7" s="304" t="s">
        <v>266</v>
      </c>
      <c r="AX7" s="304" t="b">
        <f>OR(AY7:BA7)</f>
        <v>0</v>
      </c>
      <c r="AY7" s="304" t="b">
        <f>OR($B$4=AN7,$B$5=AN7,$B$6=AN7,$B$7=AN7,$B$8=AN7,$B$9=AN7)</f>
        <v>0</v>
      </c>
      <c r="AZ7" s="304" t="b">
        <f t="shared" si="1"/>
        <v>0</v>
      </c>
      <c r="BA7" s="304" t="b">
        <f>OR($B$4=AP7,$B$5=AP7,$B$6=AP7,$B$7=AP7,$B$8=AP7,$B$9=AP7)</f>
        <v>0</v>
      </c>
    </row>
    <row r="8" spans="1:72" ht="15.75" x14ac:dyDescent="0.25">
      <c r="A8" s="62"/>
      <c r="B8" s="356">
        <f>'hoofdformulier veilig werken'!Y33</f>
        <v>0</v>
      </c>
      <c r="C8" s="527">
        <f>IF(B8=0,0,VLOOKUP(B8,'H phrases'!$B$2:$I$98,IF($R$2='H phrases'!$A$2,2,IF($R$2='H phrases'!$A$3,3,IF($R$2='H phrases'!$A$4,4,IF($R$2='H phrases'!$A$5,5,IF($R$2='H phrases'!$A$6,6,IF($R$2='H phrases'!$A$7,7,IF($R$2='H phrases'!$A$8,8,2))))))),FALSE))</f>
        <v>0</v>
      </c>
      <c r="D8" s="527"/>
      <c r="E8" s="527"/>
      <c r="F8" s="527"/>
      <c r="G8" s="527"/>
      <c r="H8" s="527"/>
      <c r="I8" s="527"/>
      <c r="J8" s="527"/>
      <c r="K8" s="527"/>
      <c r="L8" s="528"/>
      <c r="M8" s="526"/>
      <c r="N8" s="89"/>
      <c r="O8" s="89"/>
      <c r="P8" s="272"/>
      <c r="Q8" s="273">
        <f>'MCB Policy'!A30</f>
        <v>0</v>
      </c>
      <c r="R8" s="289" t="s">
        <v>555</v>
      </c>
      <c r="S8" s="305"/>
      <c r="T8" s="305"/>
      <c r="U8" s="305" t="s">
        <v>76</v>
      </c>
      <c r="V8" s="305" t="s">
        <v>98</v>
      </c>
      <c r="W8" s="305" t="s">
        <v>101</v>
      </c>
      <c r="X8" s="305" t="s">
        <v>269</v>
      </c>
      <c r="Y8" s="305" t="s">
        <v>86</v>
      </c>
      <c r="Z8" s="305" t="s">
        <v>89</v>
      </c>
      <c r="AA8" s="305"/>
      <c r="AB8" s="305"/>
      <c r="AE8" s="304" t="b">
        <f>OR(AF8:AK8)</f>
        <v>0</v>
      </c>
      <c r="AF8" s="304" t="b">
        <f t="shared" si="0"/>
        <v>0</v>
      </c>
      <c r="AG8" s="304" t="b">
        <f>OR($B$4=V8,$B$5=V8,$B$6=V8,$B$7=V8,$B$8=V8,$B$9=V8)</f>
        <v>0</v>
      </c>
      <c r="AH8" s="304" t="b">
        <f>OR($B$4=W8,$B$5=W8,$B$6=W8,$B$7=W8,$B$8=W8,$B$9=W8)</f>
        <v>0</v>
      </c>
      <c r="AI8" s="304" t="b">
        <f>OR($B$4=X8,$B$5=X8,$B$6=X8,$B$7=X8,$B$8=X8,$B$9=X8)</f>
        <v>0</v>
      </c>
      <c r="AJ8" s="304" t="b">
        <f>OR($B$4=Y8,$B$5=Y8,$B$6=Y8,$B$7=Y8,$B$8=Y8,$B$9=Y8)</f>
        <v>0</v>
      </c>
      <c r="AK8" s="304" t="b">
        <f>OR($B$4=Z8,$B$5=Z8,$B$6=Z8,$B$7=Z8,$B$8=Z8,$B$9=Z8)</f>
        <v>0</v>
      </c>
    </row>
    <row r="9" spans="1:72" ht="15.75" x14ac:dyDescent="0.25">
      <c r="A9" s="62"/>
      <c r="B9" s="357">
        <f>'hoofdformulier veilig werken'!AA33</f>
        <v>0</v>
      </c>
      <c r="C9" s="527">
        <f>IF(B9=0,0,VLOOKUP(B9,'H phrases'!$B$2:$I$98,IF($R$2='H phrases'!$A$2,2,IF($R$2='H phrases'!$A$3,3,IF($R$2='H phrases'!$A$4,4,IF($R$2='H phrases'!$A$5,5,IF($R$2='H phrases'!$A$6,6,IF($R$2='H phrases'!$A$7,7,IF($R$2='H phrases'!$A$8,8,2))))))),FALSE))</f>
        <v>0</v>
      </c>
      <c r="D9" s="527"/>
      <c r="E9" s="527"/>
      <c r="F9" s="527"/>
      <c r="G9" s="527"/>
      <c r="H9" s="527"/>
      <c r="I9" s="527"/>
      <c r="J9" s="527"/>
      <c r="K9" s="527"/>
      <c r="L9" s="528"/>
      <c r="M9" s="526"/>
      <c r="N9" s="89"/>
      <c r="O9" s="89"/>
      <c r="P9" s="272"/>
      <c r="Q9" s="273">
        <f>'MCB Policy'!A31</f>
        <v>0</v>
      </c>
      <c r="R9" s="289" t="s">
        <v>555</v>
      </c>
      <c r="S9" s="305"/>
      <c r="T9" s="305"/>
      <c r="U9" s="305" t="s">
        <v>98</v>
      </c>
      <c r="V9" s="305" t="s">
        <v>268</v>
      </c>
      <c r="W9" s="305" t="s">
        <v>106</v>
      </c>
      <c r="X9" s="305" t="s">
        <v>269</v>
      </c>
      <c r="Y9" s="305" t="s">
        <v>273</v>
      </c>
      <c r="Z9" s="305" t="s">
        <v>118</v>
      </c>
      <c r="AA9" s="305" t="s">
        <v>274</v>
      </c>
      <c r="AB9" s="305"/>
      <c r="AC9" s="305" t="s">
        <v>275</v>
      </c>
      <c r="AD9" s="305" t="s">
        <v>122</v>
      </c>
      <c r="AE9" s="304" t="b">
        <f>OR(AF9:AO9)</f>
        <v>0</v>
      </c>
      <c r="AF9" s="304" t="b">
        <f t="shared" si="0"/>
        <v>0</v>
      </c>
      <c r="AG9" s="304" t="b">
        <f>OR($B$4=V9,$B$5=V9,$B$6=V9,$B$7=V9,$B$8=V9,$B$9=V9)</f>
        <v>0</v>
      </c>
      <c r="AH9" s="304" t="b">
        <f>OR($B$4=W9,$B$5=W9,$B$6=W9,$B$7=W9,$B$8=W9,$B$9=W9)</f>
        <v>0</v>
      </c>
      <c r="AI9" s="304" t="b">
        <f>OR($B$4=X9,$B$5=X9,$B$6=X9,$B$7=X9,$B$8=X9,$B$9=X9)</f>
        <v>0</v>
      </c>
      <c r="AK9" s="304" t="b">
        <f>OR($B$4=Y9,$B$5=Y9,$B$6=Y9,$B$7=Y9,$B$8=Y9,$B$9=Y9)</f>
        <v>0</v>
      </c>
      <c r="AL9" s="304" t="b">
        <f>OR($B$4=Z9,$B$5=Z9,$B$6=Z9,$B$7=Z9,$B$8=Z9,$B$9=Z9)</f>
        <v>0</v>
      </c>
      <c r="AM9" s="304" t="b">
        <f>OR($B$4=AA9,$B$5=AA9,$B$6=AA9,$B$7=AA9,$B$8=AA9,$B$9=AA9)</f>
        <v>0</v>
      </c>
      <c r="AN9" s="304" t="b">
        <f>OR($B$4=AC9,$B$5=AC9,$B$6=AC9,$B$7=AC9,$B$8=AC9,$B$9=AC9)</f>
        <v>0</v>
      </c>
      <c r="AO9" s="304" t="b">
        <f>OR($B$4=AD9,$B$5=AD9,$B$6=AD9,$B$7=AD9,$B$8=AD9,$B$9=AD9)</f>
        <v>0</v>
      </c>
    </row>
    <row r="10" spans="1:72" ht="120" x14ac:dyDescent="0.25">
      <c r="A10" s="280" t="s">
        <v>795</v>
      </c>
      <c r="B10" s="295" t="s">
        <v>794</v>
      </c>
      <c r="C10" s="520" t="s">
        <v>810</v>
      </c>
      <c r="D10" s="530"/>
      <c r="E10" s="530"/>
      <c r="F10" s="530"/>
      <c r="G10" s="530"/>
      <c r="H10" s="530"/>
      <c r="I10" s="530"/>
      <c r="J10" s="530"/>
      <c r="K10" s="530"/>
      <c r="L10" s="531"/>
      <c r="M10" s="229" t="str">
        <f>IF(Scheme!C129,"Route of exposure"," ")</f>
        <v xml:space="preserve"> </v>
      </c>
      <c r="N10" s="236"/>
      <c r="O10" s="236"/>
      <c r="P10" s="274"/>
      <c r="Q10" s="275">
        <f>'MCB Policy'!A32</f>
        <v>0</v>
      </c>
      <c r="R10" s="289" t="s">
        <v>555</v>
      </c>
      <c r="S10" s="234">
        <f>IF(R161,0,IF($B4=0,0,VLOOKUP($B4,Scheme!$E$3:$AC$103,5,FALSE)))</f>
        <v>0</v>
      </c>
      <c r="T10" s="234"/>
      <c r="U10" s="234">
        <f>IF(R161,0,IF($B4=0,0,VLOOKUP($B4,Scheme!$E$3:$AC$103,6,FALSE)))</f>
        <v>0</v>
      </c>
      <c r="V10" s="234">
        <f>IF(R161,0,IF($B4=0,0,VLOOKUP($B4,Scheme!$E$3:$AC$103,7,FALSE)))</f>
        <v>0</v>
      </c>
      <c r="W10" s="234">
        <f>IF(R161,0,IF($B4=0,0,VLOOKUP($B4,Scheme!$E$3:$AC$103,8,FALSE)))</f>
        <v>0</v>
      </c>
      <c r="X10" s="234">
        <f>IF(R161,0,IF($B4=0,0,VLOOKUP($B4,Scheme!$E$3:$AC$103,9,FALSE)))</f>
        <v>0</v>
      </c>
      <c r="Y10" s="234">
        <f>IF(R161,0,IF($B4=0,0,VLOOKUP($B4,Scheme!$E$3:$AC$103,10,FALSE)))</f>
        <v>0</v>
      </c>
      <c r="Z10" s="234">
        <f>IF(R161,0,IF($B4=0,0,VLOOKUP($B4,Scheme!$E$3:$AC$103,11,FALSE)))</f>
        <v>0</v>
      </c>
      <c r="AA10" s="234">
        <f>IF(R161,0,IF($B4=0,0,VLOOKUP($B4,Scheme!$E$3:$AC$103,12,FALSE)))</f>
        <v>0</v>
      </c>
      <c r="AB10" s="234"/>
      <c r="AC10" s="234">
        <f>IF(R161,0,IF($B4=0,0,VLOOKUP($B4,Scheme!$E$3:$AC$103,13,FALSE)))</f>
        <v>0</v>
      </c>
      <c r="AD10" s="234">
        <f>IF(R161,0,IF($B4=0,0,VLOOKUP($B4,Scheme!$E$3:$AC$103,14,FALSE)))</f>
        <v>0</v>
      </c>
      <c r="AE10" s="234">
        <f>IF(R161,0,IF($B4=0,0,VLOOKUP($B4,Scheme!$E$3:$AC$103,15,FALSE)))</f>
        <v>0</v>
      </c>
      <c r="AF10" s="234">
        <f>IF(R161,0,IF($B4=0,0,VLOOKUP($B4,Scheme!$E$3:$AC$103,16,FALSE)))</f>
        <v>0</v>
      </c>
      <c r="AG10" s="234">
        <f>IF(R161,0,IF($B4=0,0,VLOOKUP($B4,Scheme!$E$3:$AC$103,17,FALSE)))</f>
        <v>0</v>
      </c>
      <c r="AH10" s="234">
        <f>IF(R161,0,IF($B4=0,0,VLOOKUP($B4,Scheme!$E$3:$AC$103,18,FALSE)))</f>
        <v>0</v>
      </c>
      <c r="AI10" s="234">
        <f>IF(R161,0,IF($B4=0,0,VLOOKUP($B4,Scheme!$E$3:$AC$103,19,FALSE)))</f>
        <v>0</v>
      </c>
      <c r="AJ10" s="234"/>
      <c r="AK10" s="234">
        <f>IF(R161,0,IF($B4=0,0,VLOOKUP($B4,Scheme!$E$3:$AC$103,20,FALSE)))</f>
        <v>0</v>
      </c>
      <c r="AL10" s="234">
        <f>IF(R161,0,IF($B4=0,0,VLOOKUP($B4,Scheme!$E$3:$AC$103,21,FALSE)))</f>
        <v>0</v>
      </c>
      <c r="AM10" s="234">
        <f>IF(R161,0,IF($B4=0,0,VLOOKUP($B4,Scheme!$E$3:$AC$103,22,FALSE)))</f>
        <v>0</v>
      </c>
      <c r="AN10" s="234">
        <f>IF(R161,0,IF($B4=0,0,VLOOKUP($B4,Scheme!$E$3:$AC$103,23,FALSE)))</f>
        <v>0</v>
      </c>
      <c r="AO10" s="234">
        <f>IF(R161,0,IF($B4=0,0,VLOOKUP($B4,Scheme!$E$3:$AC$103,24,FALSE)))</f>
        <v>0</v>
      </c>
      <c r="AP10" s="234">
        <f>IF(R161,0,IF($B4=0,0,VLOOKUP($B4,Scheme!$E$3:$AC$103,25,FALSE)))</f>
        <v>0</v>
      </c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314"/>
      <c r="BO10" s="234"/>
      <c r="BP10" s="234"/>
      <c r="BQ10" s="234"/>
      <c r="BR10" s="234"/>
      <c r="BS10" s="234"/>
      <c r="BT10" s="234"/>
    </row>
    <row r="11" spans="1:72" ht="18.75" x14ac:dyDescent="0.25">
      <c r="A11" s="282" t="s">
        <v>731</v>
      </c>
      <c r="B11" s="283" t="s">
        <v>814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84" t="s">
        <v>811</v>
      </c>
      <c r="M11" s="285" t="s">
        <v>800</v>
      </c>
      <c r="N11" s="87"/>
      <c r="O11" s="87"/>
      <c r="P11" s="274"/>
      <c r="Q11" s="273">
        <f>'MCB Policy'!A33</f>
        <v>0</v>
      </c>
      <c r="R11" s="289" t="s">
        <v>555</v>
      </c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</row>
    <row r="12" spans="1:72" ht="18.75" x14ac:dyDescent="0.25">
      <c r="A12" s="513" t="s">
        <v>824</v>
      </c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5"/>
      <c r="N12" s="236"/>
      <c r="O12" s="236"/>
      <c r="P12" s="274"/>
      <c r="Q12" s="275">
        <f>'MCB Policy'!A34</f>
        <v>0</v>
      </c>
      <c r="R12" s="289" t="s">
        <v>555</v>
      </c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314"/>
      <c r="BO12" s="234"/>
      <c r="BP12" s="234"/>
      <c r="BQ12" s="234"/>
      <c r="BR12" s="234"/>
      <c r="BS12" s="234"/>
      <c r="BT12" s="234"/>
    </row>
    <row r="13" spans="1:72" x14ac:dyDescent="0.25">
      <c r="A13" s="263">
        <f>IF(M13="yes","Extinction alternative",0)</f>
        <v>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5">
        <f>IF(AE4,"In case of fire does water increases risk?",0)</f>
        <v>0</v>
      </c>
      <c r="M13" s="286"/>
      <c r="N13" s="194"/>
      <c r="O13" s="194"/>
      <c r="P13" s="276"/>
      <c r="Q13" s="273">
        <f>'MCB Policy'!A35</f>
        <v>0</v>
      </c>
      <c r="R13" s="289" t="s">
        <v>555</v>
      </c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</row>
    <row r="14" spans="1:72" x14ac:dyDescent="0.25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8">
        <f>IF(OR(
AND(AE5,OR(A11='Physical state'!B4,A11='Physical state'!B8)),
AND(Scheme!C141,OR(A11='Physical state'!B4,A11='Physical state'!B8))),"Is it volatile? (vapour pressure &gt; 0,5 kPa)",0)</f>
        <v>0</v>
      </c>
      <c r="M14" s="287" t="s">
        <v>555</v>
      </c>
      <c r="N14" s="194"/>
      <c r="O14" s="194"/>
      <c r="P14" s="276"/>
      <c r="Q14" s="273">
        <f>'MCB Policy'!A36</f>
        <v>0</v>
      </c>
      <c r="R14" s="289" t="s">
        <v>555</v>
      </c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</row>
    <row r="15" spans="1:72" x14ac:dyDescent="0.25">
      <c r="A15" s="269">
        <f>IF(M15="yes","Specify treatment",0)</f>
        <v>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1">
        <f>IF(AE8,"Is specific treatment or antidote required?",0)</f>
        <v>0</v>
      </c>
      <c r="M15" s="288" t="s">
        <v>556</v>
      </c>
      <c r="N15" s="194"/>
      <c r="O15" s="194"/>
      <c r="P15" s="276"/>
      <c r="Q15" s="273">
        <f>'MCB Policy'!A37</f>
        <v>0</v>
      </c>
      <c r="R15" s="289" t="s">
        <v>555</v>
      </c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</row>
    <row r="16" spans="1:72" ht="60" x14ac:dyDescent="0.25">
      <c r="A16" s="232" t="s">
        <v>779</v>
      </c>
      <c r="B16" s="511" t="s">
        <v>554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2"/>
      <c r="M16" s="230"/>
      <c r="N16" s="230" t="s">
        <v>768</v>
      </c>
      <c r="O16" s="230" t="s">
        <v>769</v>
      </c>
      <c r="P16" s="230" t="s">
        <v>770</v>
      </c>
      <c r="Q16" s="230" t="s">
        <v>775</v>
      </c>
      <c r="R16" s="231" t="s">
        <v>771</v>
      </c>
      <c r="S16" s="234">
        <f>IF(R$162,0,IF($B5=0,0,VLOOKUP($B5,Scheme!$E$3:$AC$103,5,FALSE)))</f>
        <v>0</v>
      </c>
      <c r="T16" s="234"/>
      <c r="U16" s="234">
        <f>IF(R$162,0,IF($B5=0,0,VLOOKUP($B5,Scheme!$E$3:$AC$103,6,FALSE)))</f>
        <v>0</v>
      </c>
      <c r="V16" s="234">
        <f>IF(R$162,0,IF($B5=0,0,VLOOKUP($B5,Scheme!$E$3:$AC$103,7,FALSE)))</f>
        <v>0</v>
      </c>
      <c r="W16" s="234">
        <f>IF(R$162,0,IF($B5=0,0,VLOOKUP($B5,Scheme!$E$3:$AC$103,8,FALSE)))</f>
        <v>0</v>
      </c>
      <c r="X16" s="234">
        <f>IF(R$162,0,IF($B5=0,0,VLOOKUP($B5,Scheme!$E$3:$AC$103,9,FALSE)))</f>
        <v>0</v>
      </c>
      <c r="Y16" s="234">
        <f>IF(R$162,0,IF($B5=0,0,VLOOKUP($B5,Scheme!$E$3:$AC$103,10,FALSE)))</f>
        <v>0</v>
      </c>
      <c r="Z16" s="234">
        <f>IF(R$162,0,IF($B5=0,0,VLOOKUP($B5,Scheme!$E$3:$AC$103,11,FALSE)))</f>
        <v>0</v>
      </c>
      <c r="AA16" s="234">
        <f>IF(R$162,0,IF($B5=0,0,VLOOKUP($B5,Scheme!$E$3:$AC$103,12,FALSE)))</f>
        <v>0</v>
      </c>
      <c r="AB16" s="234"/>
      <c r="AC16" s="234">
        <f>IF(R$162,0,IF($B5=0,0,VLOOKUP($B5,Scheme!$E$3:$AC$103,13,FALSE)))</f>
        <v>0</v>
      </c>
      <c r="AD16" s="234">
        <f>IF(R$162,0,IF($B5=0,0,VLOOKUP($B5,Scheme!$E$3:$AC$103,14,FALSE)))</f>
        <v>0</v>
      </c>
      <c r="AE16" s="234">
        <f>IF(R$162,0,IF($B5=0,0,VLOOKUP($B5,Scheme!$E$3:$AC$103,15,FALSE)))</f>
        <v>0</v>
      </c>
      <c r="AF16" s="234">
        <f>IF(R$162,0,IF($B5=0,0,VLOOKUP($B5,Scheme!$E$3:$AC$103,16,FALSE)))</f>
        <v>0</v>
      </c>
      <c r="AG16" s="234">
        <f>IF(R$162,0,IF($B5=0,0,VLOOKUP($B5,Scheme!$E$3:$AC$103,17,FALSE)))</f>
        <v>0</v>
      </c>
      <c r="AH16" s="234">
        <f>IF(R$162,0,IF($B5=0,0,VLOOKUP($B5,Scheme!$E$3:$AC$103,18,FALSE)))</f>
        <v>0</v>
      </c>
      <c r="AI16" s="234">
        <f>IF(R$162,0,IF($B5=0,0,VLOOKUP($B5,Scheme!$E$3:$AC$103,19,FALSE)))</f>
        <v>0</v>
      </c>
      <c r="AJ16" s="234"/>
      <c r="AK16" s="234">
        <f>IF(R$162,0,IF($B5=0,0,VLOOKUP($B5,Scheme!$E$3:$AC$103,20,FALSE)))</f>
        <v>0</v>
      </c>
      <c r="AL16" s="234">
        <f>IF(R$162,0,IF($B5=0,0,VLOOKUP($B5,Scheme!$E$3:$AC$103,21,FALSE)))</f>
        <v>0</v>
      </c>
      <c r="AM16" s="234">
        <f>IF(R$162,0,IF($B5=0,0,VLOOKUP($B5,Scheme!$E$3:$AC$103,22,FALSE)))</f>
        <v>0</v>
      </c>
      <c r="AN16" s="234">
        <f>IF(R$162,0,IF($B5=0,0,VLOOKUP($B5,Scheme!$E$3:$AC$103,23,FALSE)))</f>
        <v>0</v>
      </c>
      <c r="AO16" s="234">
        <f>IF(R$162,0,IF($B5=0,0,VLOOKUP($B5,Scheme!$E$3:$AC$103,24,FALSE)))</f>
        <v>0</v>
      </c>
      <c r="AP16" s="234">
        <f>IF(R$162,0,IF($B5=0,0,VLOOKUP($B5,Scheme!$E$3:$AC$103,25,FALSE)))</f>
        <v>0</v>
      </c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314"/>
      <c r="BO16" s="234"/>
      <c r="BP16" s="234"/>
      <c r="BQ16" s="234"/>
      <c r="BR16" s="234"/>
      <c r="BS16" s="234"/>
      <c r="BT16" s="234"/>
    </row>
    <row r="17" spans="1:107" x14ac:dyDescent="0.25">
      <c r="A17" s="114"/>
      <c r="B17" s="65">
        <f t="shared" ref="B17:B30" si="2">IF(BL30=0,0,VLOOKUP(BL30,$U$73:$V$208,2,FALSE))</f>
        <v>0</v>
      </c>
      <c r="C17" s="532" t="str">
        <f>IF(B17=0,"",VLOOKUP(B17,'P phrases'!$B$2:$I$137,IF($R$2='P phrases'!$A$2,2,IF($R$2='P phrases'!$A$3,3,IF($R$2='P phrases'!$A$4,4,IF($R$2='P phrases'!$A$5,5,IF($R$2='P phrases'!$A$6,6,IF($R$2='P phrases'!$A$7,7,IF($R$2='P phrases'!$A$8,8,2))))))),FALSE))</f>
        <v/>
      </c>
      <c r="D17" s="533"/>
      <c r="E17" s="533"/>
      <c r="F17" s="533"/>
      <c r="G17" s="533"/>
      <c r="H17" s="533"/>
      <c r="I17" s="533"/>
      <c r="J17" s="533"/>
      <c r="K17" s="533"/>
      <c r="L17" s="534"/>
      <c r="M17" s="64">
        <f>IF(BM30=0,0,IF(BM30=1, $S$29,IF(BM30=2,$AA$29,IF(BM30=3,$AI$29,0))))</f>
        <v>0</v>
      </c>
      <c r="N17" s="281"/>
      <c r="O17" s="290"/>
      <c r="P17" s="90" t="str">
        <f>IF('gevaarljike stoffen'!$M$5="Not Allowed",0,BJ20)</f>
        <v>health</v>
      </c>
      <c r="Q17" s="227">
        <f>IF('gevaarljike stoffen'!M5="Not Allowed",0,IF(AND(B4=0,B5=0,B6=0,B7=0,B8=0,B9=0),0,IF(BA21,"yes","no")))</f>
        <v>0</v>
      </c>
      <c r="R17" s="227">
        <f>IF('gevaarljike stoffen'!M5="Not Allowed",0,IF(AND(B4=0,B5=0,B6=0,B7=0,B8=0,B9=0),0,IF(BC21,"yes","no")))</f>
        <v>0</v>
      </c>
      <c r="S17" s="305">
        <f>IF(R$163,0,IF($B6=0,0,VLOOKUP($B6,Scheme!$E$3:$AC$103,5,FALSE)))</f>
        <v>0</v>
      </c>
      <c r="T17" s="305"/>
      <c r="U17" s="305">
        <f>IF(R$163,0,IF($B6=0,0,VLOOKUP($B6,Scheme!$E$3:$AC$103,6,FALSE)))</f>
        <v>0</v>
      </c>
      <c r="V17" s="305">
        <f>IF(R$163,0,IF($B6=0,0,VLOOKUP($B6,Scheme!$E$3:$AC$103,7,FALSE)))</f>
        <v>0</v>
      </c>
      <c r="W17" s="305">
        <f>IF(R$163,0,IF($B6=0,0,VLOOKUP($B6,Scheme!$E$3:$AC$103,8,FALSE)))</f>
        <v>0</v>
      </c>
      <c r="X17" s="305">
        <f>IF(R$163,0,IF($B6=0,0,VLOOKUP($B6,Scheme!$E$3:$AC$103,9,FALSE)))</f>
        <v>0</v>
      </c>
      <c r="Y17" s="305">
        <f>IF(R$163,0,IF($B6=0,0,VLOOKUP($B6,Scheme!$E$3:$AC$103,10,FALSE)))</f>
        <v>0</v>
      </c>
      <c r="Z17" s="305">
        <f>IF(R$163,0,IF($B6=0,0,VLOOKUP($B6,Scheme!$E$3:$AC$103,11,FALSE)))</f>
        <v>0</v>
      </c>
      <c r="AA17" s="305">
        <f>IF(R$163,0,IF($B6=0,0,VLOOKUP($B6,Scheme!$E$3:$AC$103,12,FALSE)))</f>
        <v>0</v>
      </c>
      <c r="AB17" s="305"/>
      <c r="AC17" s="305">
        <f>IF(R$163,0,IF($B6=0,0,VLOOKUP($B6,Scheme!$E$3:$AC$103,13,FALSE)))</f>
        <v>0</v>
      </c>
      <c r="AD17" s="305">
        <f>IF(R$163,0,IF($B6=0,0,VLOOKUP($B6,Scheme!$E$3:$AC$103,14,FALSE)))</f>
        <v>0</v>
      </c>
      <c r="AE17" s="305">
        <f>IF(R$163,0,IF($B6=0,0,VLOOKUP($B6,Scheme!$E$3:$AC$103,15,FALSE)))</f>
        <v>0</v>
      </c>
      <c r="AF17" s="305">
        <f>IF(R$163,0,IF($B6=0,0,VLOOKUP($B6,Scheme!$E$3:$AC$103,16,FALSE)))</f>
        <v>0</v>
      </c>
      <c r="AG17" s="305">
        <f>IF(R$163,0,IF($B6=0,0,VLOOKUP($B6,Scheme!$E$3:$AC$103,17,FALSE)))</f>
        <v>0</v>
      </c>
      <c r="AH17" s="305">
        <f>IF(R$163,0,IF($B6=0,0,VLOOKUP($B6,Scheme!$E$3:$AC$103,18,FALSE)))</f>
        <v>0</v>
      </c>
      <c r="AI17" s="305">
        <f>IF(R$163,0,IF($B6=0,0,VLOOKUP($B6,Scheme!$E$3:$AC$103,19,FALSE)))</f>
        <v>0</v>
      </c>
      <c r="AJ17" s="305"/>
      <c r="AK17" s="305">
        <f>IF(R$163,0,IF($B6=0,0,VLOOKUP($B6,Scheme!$E$3:$AC$103,20,FALSE)))</f>
        <v>0</v>
      </c>
      <c r="AL17" s="305">
        <f>IF(R$163,0,IF($B6=0,0,VLOOKUP($B6,Scheme!$E$3:$AC$103,21,FALSE)))</f>
        <v>0</v>
      </c>
      <c r="AM17" s="305">
        <f>IF(R$163,0,IF($B6=0,0,VLOOKUP($B6,Scheme!$E$3:$AC$103,22,FALSE)))</f>
        <v>0</v>
      </c>
      <c r="AN17" s="305">
        <f>IF(R$163,0,IF($B6=0,0,VLOOKUP($B6,Scheme!$E$3:$AC$103,23,FALSE)))</f>
        <v>0</v>
      </c>
      <c r="AO17" s="305">
        <f>IF(R$163,0,IF($B6=0,0,VLOOKUP($B6,Scheme!$E$3:$AC$103,24,FALSE)))</f>
        <v>0</v>
      </c>
      <c r="AP17" s="305">
        <f>IF(R$163,0,IF($B6=0,0,VLOOKUP($B6,Scheme!$E$3:$AC$103,25,FALSE)))</f>
        <v>0</v>
      </c>
    </row>
    <row r="18" spans="1:107" x14ac:dyDescent="0.25">
      <c r="A18" s="114"/>
      <c r="B18" s="65">
        <f t="shared" si="2"/>
        <v>0</v>
      </c>
      <c r="C18" s="535" t="str">
        <f>IF(B18=0,"",VLOOKUP(B18,'P phrases'!$B$2:$I$137,IF($R$2='P phrases'!$A$2,2,IF($R$2='P phrases'!$A$3,3,IF($R$2='P phrases'!$A$4,4,IF($R$2='P phrases'!$A$5,5,IF($R$2='P phrases'!$A$6,6,IF($R$2='P phrases'!$A$7,7,IF($R$2='P phrases'!$A$8,8,2))))))),FALSE))</f>
        <v/>
      </c>
      <c r="D18" s="527"/>
      <c r="E18" s="527"/>
      <c r="F18" s="527"/>
      <c r="G18" s="527"/>
      <c r="H18" s="527"/>
      <c r="I18" s="527"/>
      <c r="J18" s="527"/>
      <c r="K18" s="527"/>
      <c r="L18" s="528"/>
      <c r="M18" s="64">
        <f>IF(BM31=0,0,IF(BM31=1, $S$29,IF(BM31=2,$AA$29,IF(BM31=3,$AI$29,0))))</f>
        <v>0</v>
      </c>
      <c r="N18" s="90"/>
      <c r="O18" s="90"/>
      <c r="P18" s="90">
        <f>IF('gevaarljike stoffen'!$M$5="Not Allowed",0,BJ21)</f>
        <v>0</v>
      </c>
      <c r="Q18" s="227"/>
      <c r="R18" s="227"/>
      <c r="S18" s="305">
        <f>IF(R$164,0,IF($B7=0,0,VLOOKUP($B7,Scheme!$E$3:$AC$103,5,FALSE)))</f>
        <v>0</v>
      </c>
      <c r="T18" s="305"/>
      <c r="U18" s="305">
        <f>IF(R$164,0,IF($B7=0,0,VLOOKUP($B7,Scheme!$E$3:$AC$103,6,FALSE)))</f>
        <v>0</v>
      </c>
      <c r="V18" s="305">
        <f>IF(R$164,0,IF($B7=0,0,VLOOKUP($B7,Scheme!$E$3:$AC$103,7,FALSE)))</f>
        <v>0</v>
      </c>
      <c r="W18" s="305">
        <f>IF(R$164,0,IF($B7=0,0,VLOOKUP($B7,Scheme!$E$3:$AC$103,8,FALSE)))</f>
        <v>0</v>
      </c>
      <c r="X18" s="305">
        <f>IF(R$164,0,IF($B7=0,0,VLOOKUP($B7,Scheme!$E$3:$AC$103,9,FALSE)))</f>
        <v>0</v>
      </c>
      <c r="Y18" s="305">
        <f>IF(R$164,0,IF($B7=0,0,VLOOKUP($B7,Scheme!$E$3:$AC$103,10,FALSE)))</f>
        <v>0</v>
      </c>
      <c r="Z18" s="305">
        <f>IF(R$164,0,IF($B7=0,0,VLOOKUP($B7,Scheme!$E$3:$AC$103,11,FALSE)))</f>
        <v>0</v>
      </c>
      <c r="AA18" s="305">
        <f>IF(R$164,0,IF($B7=0,0,VLOOKUP($B7,Scheme!$E$3:$AC$103,12,FALSE)))</f>
        <v>0</v>
      </c>
      <c r="AB18" s="305"/>
      <c r="AC18" s="305">
        <f>IF(R$164,0,IF($B7=0,0,VLOOKUP($B7,Scheme!$E$3:$AC$103,13,FALSE)))</f>
        <v>0</v>
      </c>
      <c r="AD18" s="305">
        <f>IF(R$164,0,IF($B7=0,0,VLOOKUP($B7,Scheme!$E$3:$AC$103,14,FALSE)))</f>
        <v>0</v>
      </c>
      <c r="AE18" s="305">
        <f>IF(R$164,0,IF($B7=0,0,VLOOKUP($B7,Scheme!$E$3:$AC$103,15,FALSE)))</f>
        <v>0</v>
      </c>
      <c r="AF18" s="305">
        <f>IF(R$164,0,IF($B7=0,0,VLOOKUP($B7,Scheme!$E$3:$AC$103,16,FALSE)))</f>
        <v>0</v>
      </c>
      <c r="AG18" s="305">
        <f>IF(R$164,0,IF($B7=0,0,VLOOKUP($B7,Scheme!$E$3:$AC$103,17,FALSE)))</f>
        <v>0</v>
      </c>
      <c r="AH18" s="305">
        <f>IF(R$164,0,IF($B7=0,0,VLOOKUP($B7,Scheme!$E$3:$AC$103,18,FALSE)))</f>
        <v>0</v>
      </c>
      <c r="AI18" s="305">
        <f>IF(R$164,0,IF($B7=0,0,VLOOKUP($B7,Scheme!$E$3:$AC$103,19,FALSE)))</f>
        <v>0</v>
      </c>
      <c r="AJ18" s="305"/>
      <c r="AK18" s="305">
        <f>IF(R$164,0,IF($B7=0,0,VLOOKUP($B7,Scheme!$E$3:$AC$103,20,FALSE)))</f>
        <v>0</v>
      </c>
      <c r="AL18" s="305">
        <f>IF(R$164,0,IF($B7=0,0,VLOOKUP($B7,Scheme!$E$3:$AC$103,21,FALSE)))</f>
        <v>0</v>
      </c>
      <c r="AM18" s="305">
        <f>IF(R$164,0,IF($B7=0,0,VLOOKUP($B7,Scheme!$E$3:$AC$103,22,FALSE)))</f>
        <v>0</v>
      </c>
      <c r="AN18" s="305">
        <f>IF(R$164,0,IF($B7=0,0,VLOOKUP($B7,Scheme!$E$3:$AC$103,23,FALSE)))</f>
        <v>0</v>
      </c>
      <c r="AO18" s="305">
        <f>IF(R$164,0,IF($B7=0,0,VLOOKUP($B7,Scheme!$E$3:$AC$103,24,FALSE)))</f>
        <v>0</v>
      </c>
      <c r="AP18" s="305">
        <f>IF(R$164,0,IF($B7=0,0,VLOOKUP($B7,Scheme!$E$3:$AC$103,25,FALSE)))</f>
        <v>0</v>
      </c>
    </row>
    <row r="19" spans="1:107" x14ac:dyDescent="0.25">
      <c r="A19" s="114"/>
      <c r="B19" s="65">
        <f t="shared" si="2"/>
        <v>0</v>
      </c>
      <c r="C19" s="535" t="str">
        <f>IF(B19=0,"",VLOOKUP(B19,'P phrases'!$B$2:$I$137,IF($R$2='P phrases'!$A$2,2,IF($R$2='P phrases'!$A$3,3,IF($R$2='P phrases'!$A$4,4,IF($R$2='P phrases'!$A$5,5,IF($R$2='P phrases'!$A$6,6,IF($R$2='P phrases'!$A$7,7,IF($R$2='P phrases'!$A$8,8,2))))))),FALSE))</f>
        <v/>
      </c>
      <c r="D19" s="527"/>
      <c r="E19" s="527"/>
      <c r="F19" s="527"/>
      <c r="G19" s="527"/>
      <c r="H19" s="527"/>
      <c r="I19" s="527"/>
      <c r="J19" s="527"/>
      <c r="K19" s="527"/>
      <c r="L19" s="528"/>
      <c r="M19" s="64">
        <f t="shared" ref="M19:M30" si="3">IF(BM32=0,0,IF(BM32=1, $S$29,IF(BM32=2,$AA$29,IF(BM32=3,$AI$29,0))))</f>
        <v>0</v>
      </c>
      <c r="N19" s="90"/>
      <c r="O19" s="90"/>
      <c r="P19" s="90" t="str">
        <f>IF('gevaarljike stoffen'!$M$5="Not Allowed",0,BK20)</f>
        <v>enviro</v>
      </c>
      <c r="Q19" s="227"/>
      <c r="R19" s="510"/>
      <c r="S19" s="305">
        <f>IF(R$165,0,IF($B8=0,0,VLOOKUP($B8,Scheme!$E$3:$AC$103,5,FALSE)))</f>
        <v>0</v>
      </c>
      <c r="T19" s="305"/>
      <c r="U19" s="305">
        <f>IF(R$165,0,IF($B8=0,0,VLOOKUP($B8,Scheme!$E$3:$AC$103,6,FALSE)))</f>
        <v>0</v>
      </c>
      <c r="V19" s="305">
        <f>IF(R$165,0,IF($B8=0,0,VLOOKUP($B8,Scheme!$E$3:$AC$103,7,FALSE)))</f>
        <v>0</v>
      </c>
      <c r="W19" s="305">
        <f>IF(R$165,0,IF($B8=0,0,VLOOKUP($B8,Scheme!$E$3:$AC$103,8,FALSE)))</f>
        <v>0</v>
      </c>
      <c r="X19" s="305">
        <f>IF(R$165,0,IF($B8=0,0,VLOOKUP($B8,Scheme!$E$3:$AC$103,9,FALSE)))</f>
        <v>0</v>
      </c>
      <c r="Y19" s="305">
        <f>IF(R$165,0,IF($B8=0,0,VLOOKUP($B8,Scheme!$E$3:$AC$103,10,FALSE)))</f>
        <v>0</v>
      </c>
      <c r="Z19" s="305">
        <f>IF(R$165,0,IF($B8=0,0,VLOOKUP($B8,Scheme!$E$3:$AC$103,11,FALSE)))</f>
        <v>0</v>
      </c>
      <c r="AA19" s="305">
        <f>IF(R$165,0,IF($B8=0,0,VLOOKUP($B8,Scheme!$E$3:$AC$103,12,FALSE)))</f>
        <v>0</v>
      </c>
      <c r="AB19" s="305"/>
      <c r="AC19" s="305">
        <f>IF(R$165,0,IF($B8=0,0,VLOOKUP($B8,Scheme!$E$3:$AC$103,13,FALSE)))</f>
        <v>0</v>
      </c>
      <c r="AD19" s="305">
        <f>IF(R$165,0,IF($B8=0,0,VLOOKUP($B8,Scheme!$E$3:$AC$103,14,FALSE)))</f>
        <v>0</v>
      </c>
      <c r="AE19" s="305">
        <f>IF(R$165,0,IF($B8=0,0,VLOOKUP($B8,Scheme!$E$3:$AC$103,15,FALSE)))</f>
        <v>0</v>
      </c>
      <c r="AF19" s="305">
        <f>IF(R$165,0,IF($B8=0,0,VLOOKUP($B8,Scheme!$E$3:$AC$103,16,FALSE)))</f>
        <v>0</v>
      </c>
      <c r="AG19" s="305">
        <f>IF(R$165,0,IF($B8=0,0,VLOOKUP($B8,Scheme!$E$3:$AC$103,17,FALSE)))</f>
        <v>0</v>
      </c>
      <c r="AH19" s="305">
        <f>IF(R$165,0,IF($B8=0,0,VLOOKUP($B8,Scheme!$E$3:$AC$103,18,FALSE)))</f>
        <v>0</v>
      </c>
      <c r="AI19" s="305">
        <f>IF(R$165,0,IF($B8=0,0,VLOOKUP($B8,Scheme!$E$3:$AC$103,19,FALSE)))</f>
        <v>0</v>
      </c>
      <c r="AJ19" s="305"/>
      <c r="AK19" s="305">
        <f>IF(R$165,0,IF($B8=0,0,VLOOKUP($B8,Scheme!$E$3:$AC$103,20,FALSE)))</f>
        <v>0</v>
      </c>
      <c r="AL19" s="305">
        <f>IF(R$165,0,IF($B8=0,0,VLOOKUP($B8,Scheme!$E$3:$AC$103,21,FALSE)))</f>
        <v>0</v>
      </c>
      <c r="AM19" s="305">
        <f>IF(R$165,0,IF($B8=0,0,VLOOKUP($B8,Scheme!$E$3:$AC$103,22,FALSE)))</f>
        <v>0</v>
      </c>
      <c r="AN19" s="305">
        <f>IF(R$165,0,IF($B8=0,0,VLOOKUP($B8,Scheme!$E$3:$AC$103,23,FALSE)))</f>
        <v>0</v>
      </c>
      <c r="AO19" s="305">
        <f>IF(R$165,0,IF($B8=0,0,VLOOKUP($B8,Scheme!$E$3:$AC$103,24,FALSE)))</f>
        <v>0</v>
      </c>
      <c r="AP19" s="305">
        <f>IF(R$165,0,IF($B8=0,0,VLOOKUP($B8,Scheme!$E$3:$AC$103,25,FALSE)))</f>
        <v>0</v>
      </c>
    </row>
    <row r="20" spans="1:107" x14ac:dyDescent="0.25">
      <c r="A20" s="114"/>
      <c r="B20" s="65">
        <f t="shared" si="2"/>
        <v>0</v>
      </c>
      <c r="C20" s="535" t="str">
        <f>IF(B20=0,"",VLOOKUP(B20,'P phrases'!$B$2:$I$137,IF($R$2='P phrases'!$A$2,2,IF($R$2='P phrases'!$A$3,3,IF($R$2='P phrases'!$A$4,4,IF($R$2='P phrases'!$A$5,5,IF($R$2='P phrases'!$A$6,6,IF($R$2='P phrases'!$A$7,7,IF($R$2='P phrases'!$A$8,8,2))))))),FALSE))</f>
        <v/>
      </c>
      <c r="D20" s="527"/>
      <c r="E20" s="527"/>
      <c r="F20" s="527"/>
      <c r="G20" s="527"/>
      <c r="H20" s="527"/>
      <c r="I20" s="527"/>
      <c r="J20" s="527"/>
      <c r="K20" s="527"/>
      <c r="L20" s="528"/>
      <c r="M20" s="64">
        <f t="shared" si="3"/>
        <v>0</v>
      </c>
      <c r="N20" s="90"/>
      <c r="O20" s="90"/>
      <c r="P20" s="90">
        <f>IF('gevaarljike stoffen'!$M$5="Not Allowed",0,BK21)</f>
        <v>0</v>
      </c>
      <c r="Q20" s="227"/>
      <c r="R20" s="510"/>
      <c r="S20" s="305">
        <f>IF(R$166,0,IF($B9=0,0,VLOOKUP($B9,Scheme!$E$3:$AC$103,5,FALSE)))</f>
        <v>0</v>
      </c>
      <c r="T20" s="305"/>
      <c r="U20" s="305">
        <f>IF(R$166,0,IF($B9=0,0,VLOOKUP($B9,Scheme!$E$3:$AC$103,6,FALSE)))</f>
        <v>0</v>
      </c>
      <c r="V20" s="305">
        <f>IF(R$166,0,IF($B9=0,0,VLOOKUP($B9,Scheme!$E$3:$AC$103,7,FALSE)))</f>
        <v>0</v>
      </c>
      <c r="W20" s="305">
        <f>IF(R$166,0,IF($B9=0,0,VLOOKUP($B9,Scheme!$E$3:$AC$103,8,FALSE)))</f>
        <v>0</v>
      </c>
      <c r="X20" s="305">
        <f>IF(R$166,0,IF($B9=0,0,VLOOKUP($B9,Scheme!$E$3:$AC$103,9,FALSE)))</f>
        <v>0</v>
      </c>
      <c r="Y20" s="305">
        <f>IF(R$166,0,IF($B9=0,0,VLOOKUP($B9,Scheme!$E$3:$AC$103,10,FALSE)))</f>
        <v>0</v>
      </c>
      <c r="Z20" s="305">
        <f>IF(R$166,0,IF($B9=0,0,VLOOKUP($B9,Scheme!$E$3:$AC$103,11,FALSE)))</f>
        <v>0</v>
      </c>
      <c r="AA20" s="305">
        <f>IF(R$166,0,IF($B9=0,0,VLOOKUP($B9,Scheme!$E$3:$AC$103,12,FALSE)))</f>
        <v>0</v>
      </c>
      <c r="AB20" s="305"/>
      <c r="AC20" s="305">
        <f>IF(R$166,0,IF($B9=0,0,VLOOKUP($B9,Scheme!$E$3:$AC$103,13,FALSE)))</f>
        <v>0</v>
      </c>
      <c r="AD20" s="305">
        <f>IF(R$166,0,IF($B9=0,0,VLOOKUP($B9,Scheme!$E$3:$AC$103,14,FALSE)))</f>
        <v>0</v>
      </c>
      <c r="AE20" s="305">
        <f>IF(R$166,0,IF($B9=0,0,VLOOKUP($B9,Scheme!$E$3:$AC$103,15,FALSE)))</f>
        <v>0</v>
      </c>
      <c r="AF20" s="305">
        <f>IF(R$166,0,IF($B9=0,0,VLOOKUP($B9,Scheme!$E$3:$AC$103,16,FALSE)))</f>
        <v>0</v>
      </c>
      <c r="AG20" s="305">
        <f>IF(R$166,0,IF($B9=0,0,VLOOKUP($B9,Scheme!$E$3:$AC$103,17,FALSE)))</f>
        <v>0</v>
      </c>
      <c r="AH20" s="305">
        <f>IF(R$166,0,IF($B9=0,0,VLOOKUP($B9,Scheme!$E$3:$AC$103,18,FALSE)))</f>
        <v>0</v>
      </c>
      <c r="AI20" s="305">
        <f>IF(R$166,0,IF($B9=0,0,VLOOKUP($B9,Scheme!$E$3:$AC$103,19,FALSE)))</f>
        <v>0</v>
      </c>
      <c r="AJ20" s="305"/>
      <c r="AK20" s="305">
        <f>IF(R$166,0,IF($B9=0,0,VLOOKUP($B9,Scheme!$E$3:$AC$103,20,FALSE)))</f>
        <v>0</v>
      </c>
      <c r="AL20" s="305">
        <f>IF(R$166,0,IF($B9=0,0,VLOOKUP($B9,Scheme!$E$3:$AC$103,21,FALSE)))</f>
        <v>0</v>
      </c>
      <c r="AM20" s="305">
        <f>IF(R$166,0,IF($B9=0,0,VLOOKUP($B9,Scheme!$E$3:$AC$103,22,FALSE)))</f>
        <v>0</v>
      </c>
      <c r="AN20" s="305">
        <f>IF(R$166,0,IF($B9=0,0,VLOOKUP($B9,Scheme!$E$3:$AC$103,23,FALSE)))</f>
        <v>0</v>
      </c>
      <c r="AO20" s="305">
        <f>IF(R$166,0,IF($B9=0,0,VLOOKUP($B9,Scheme!$E$3:$AC$103,24,FALSE)))</f>
        <v>0</v>
      </c>
      <c r="AP20" s="305">
        <f>IF(R$166,0,IF($B9=0,0,VLOOKUP($B9,Scheme!$E$3:$AC$103,25,FALSE)))</f>
        <v>0</v>
      </c>
      <c r="AQ20" s="304" t="s">
        <v>241</v>
      </c>
      <c r="AT20" s="304" t="s">
        <v>652</v>
      </c>
      <c r="AX20" s="304" t="s">
        <v>772</v>
      </c>
      <c r="AZ20" s="304" t="s">
        <v>773</v>
      </c>
      <c r="BB20" s="304" t="s">
        <v>774</v>
      </c>
      <c r="BJ20" s="304" t="s">
        <v>837</v>
      </c>
      <c r="BK20" s="304" t="s">
        <v>838</v>
      </c>
      <c r="BL20" s="304" t="s">
        <v>839</v>
      </c>
    </row>
    <row r="21" spans="1:107" ht="30" x14ac:dyDescent="0.25">
      <c r="A21" s="114"/>
      <c r="B21" s="65">
        <f t="shared" si="2"/>
        <v>0</v>
      </c>
      <c r="C21" s="535" t="str">
        <f>IF(B21=0,"",VLOOKUP(B21,'P phrases'!$B$2:$I$137,IF($R$2='P phrases'!$A$2,2,IF($R$2='P phrases'!$A$3,3,IF($R$2='P phrases'!$A$4,4,IF($R$2='P phrases'!$A$5,5,IF($R$2='P phrases'!$A$6,6,IF($R$2='P phrases'!$A$7,7,IF($R$2='P phrases'!$A$8,8,2))))))),FALSE))</f>
        <v/>
      </c>
      <c r="D21" s="527"/>
      <c r="E21" s="527"/>
      <c r="F21" s="527"/>
      <c r="G21" s="527"/>
      <c r="H21" s="527"/>
      <c r="I21" s="527"/>
      <c r="J21" s="527"/>
      <c r="K21" s="527"/>
      <c r="L21" s="528"/>
      <c r="M21" s="64">
        <f t="shared" si="3"/>
        <v>0</v>
      </c>
      <c r="N21" s="90"/>
      <c r="O21" s="90"/>
      <c r="P21" s="90" t="str">
        <f>IF('gevaarljike stoffen'!$M$5="Not Allowed",0,BL20)</f>
        <v>fire&amp;explosion</v>
      </c>
      <c r="Q21" s="227"/>
      <c r="R21" s="525"/>
      <c r="S21" s="305">
        <f>IF(S10=0,0,VLOOKUP(S10,$V$73:$X$208,3,TRUE))</f>
        <v>0</v>
      </c>
      <c r="T21" s="305">
        <f t="shared" ref="T21:AP21" si="4">IF(T10=0,0,VLOOKUP(T10,$V$73:$X$208,3,TRUE))</f>
        <v>0</v>
      </c>
      <c r="U21" s="305">
        <f t="shared" si="4"/>
        <v>0</v>
      </c>
      <c r="V21" s="305">
        <f t="shared" si="4"/>
        <v>0</v>
      </c>
      <c r="W21" s="305">
        <f t="shared" si="4"/>
        <v>0</v>
      </c>
      <c r="X21" s="305">
        <f t="shared" si="4"/>
        <v>0</v>
      </c>
      <c r="Y21" s="305">
        <f t="shared" si="4"/>
        <v>0</v>
      </c>
      <c r="Z21" s="305">
        <f t="shared" si="4"/>
        <v>0</v>
      </c>
      <c r="AA21" s="305">
        <f t="shared" si="4"/>
        <v>0</v>
      </c>
      <c r="AB21" s="305">
        <f t="shared" si="4"/>
        <v>0</v>
      </c>
      <c r="AC21" s="305">
        <f t="shared" si="4"/>
        <v>0</v>
      </c>
      <c r="AD21" s="305">
        <f t="shared" si="4"/>
        <v>0</v>
      </c>
      <c r="AE21" s="305">
        <f t="shared" si="4"/>
        <v>0</v>
      </c>
      <c r="AF21" s="305">
        <f t="shared" si="4"/>
        <v>0</v>
      </c>
      <c r="AG21" s="305">
        <f t="shared" si="4"/>
        <v>0</v>
      </c>
      <c r="AH21" s="305">
        <f t="shared" si="4"/>
        <v>0</v>
      </c>
      <c r="AI21" s="305">
        <f t="shared" si="4"/>
        <v>0</v>
      </c>
      <c r="AJ21" s="305">
        <f t="shared" si="4"/>
        <v>0</v>
      </c>
      <c r="AK21" s="305">
        <f t="shared" si="4"/>
        <v>0</v>
      </c>
      <c r="AL21" s="305">
        <f t="shared" si="4"/>
        <v>0</v>
      </c>
      <c r="AM21" s="305">
        <f t="shared" si="4"/>
        <v>0</v>
      </c>
      <c r="AN21" s="305">
        <f t="shared" si="4"/>
        <v>0</v>
      </c>
      <c r="AO21" s="305">
        <f t="shared" si="4"/>
        <v>0</v>
      </c>
      <c r="AP21" s="305">
        <f t="shared" si="4"/>
        <v>0</v>
      </c>
      <c r="AQ21" s="305">
        <f>IF($B4=0,0,VLOOKUP($B4,Scheme!$E$3:$AM$128,34,FALSE))</f>
        <v>0</v>
      </c>
      <c r="AR21" s="305" t="b">
        <f>M5&lt;&gt;"Not Allowed"</f>
        <v>1</v>
      </c>
      <c r="AS21" s="305"/>
      <c r="AT21" s="305">
        <f>IF($B4=0,0,VLOOKUP($B4,Scheme!$E$3:$AC$128,3,FALSE))</f>
        <v>0</v>
      </c>
      <c r="AU21" s="304" t="e">
        <f>VLOOKUP(AT21,#REF!,2,FALSE)</f>
        <v>#REF!</v>
      </c>
      <c r="AV21" s="304">
        <f t="shared" ref="AV21:AV28" si="5">IF(ISNA(VLOOKUP(AU21,AU22:AU28,1,FALSE)),AU21,0)</f>
        <v>0</v>
      </c>
      <c r="AW21" s="305">
        <f>LARGE($AV$21:$AV$28,ROW()-ROW($AV$21)+1)</f>
        <v>0</v>
      </c>
      <c r="AX21" s="305">
        <f>IF($B4=0,0,VLOOKUP($B4,Scheme!$E$3:$AM$128,35,FALSE))</f>
        <v>0</v>
      </c>
      <c r="AY21" s="305">
        <f>LARGE($AX$21:$AX$28,ROW()-ROW($AX$21)+1)</f>
        <v>0</v>
      </c>
      <c r="AZ21" s="305">
        <f>IF($B4=0,0,VLOOKUP($B4,Scheme!$E$3:$AM$128,32,FALSE))</f>
        <v>0</v>
      </c>
      <c r="BA21" s="304" t="b">
        <f>OR(AZ21&lt;&gt;0,AZ24&lt;&gt;0,AZ25&lt;&gt;0,AZ26&lt;&gt;0,AZ27&lt;&gt;0,AZ28&lt;&gt;0,)</f>
        <v>0</v>
      </c>
      <c r="BB21" s="305">
        <f>IF($B4=0,0,VLOOKUP($B4,Scheme!$E$3:$AM$128,33,FALSE))</f>
        <v>0</v>
      </c>
      <c r="BC21" s="304" t="b">
        <f>OR(BB21&lt;&gt;0,BB24&lt;&gt;0,BB25&lt;&gt;0,BB26&lt;&gt;0,BB27&lt;&gt;0,BB28&lt;&gt;0,)</f>
        <v>0</v>
      </c>
      <c r="BD21" s="315">
        <f>AX21/1</f>
        <v>0</v>
      </c>
      <c r="BE21" s="315">
        <f>AX21/10</f>
        <v>0</v>
      </c>
      <c r="BF21" s="315">
        <f>AX21/100</f>
        <v>0</v>
      </c>
      <c r="BG21" s="315">
        <f>IF(AND(BD21&gt;0.6,BD21&lt;6),BD21,0)</f>
        <v>0</v>
      </c>
      <c r="BH21" s="315">
        <f>IF(AND(BE21&gt;0.6,BE21&lt;6),BE21,0)</f>
        <v>0</v>
      </c>
      <c r="BI21" s="315">
        <f>IF(AND(BF21&gt;0.6,BF21&lt;6),BF21,0)</f>
        <v>0</v>
      </c>
      <c r="BJ21" s="315">
        <f>LARGE($BG$21:$BG$28,ROW()-ROW($BG$21)+1)</f>
        <v>0</v>
      </c>
      <c r="BK21" s="315">
        <f>LARGE($BH$21:$BH$28,ROW()-ROW($BH$21)+1)</f>
        <v>0</v>
      </c>
      <c r="BL21" s="315">
        <f>LARGE($BI$21:$BI$28,ROW()-ROW($BI$21)+1)</f>
        <v>0</v>
      </c>
    </row>
    <row r="22" spans="1:107" x14ac:dyDescent="0.25">
      <c r="A22" s="114"/>
      <c r="B22" s="65">
        <f t="shared" si="2"/>
        <v>0</v>
      </c>
      <c r="C22" s="535" t="str">
        <f>IF(B22=0,"",VLOOKUP(B22,'P phrases'!$B$2:$I$137,IF($R$2='P phrases'!$A$2,2,IF($R$2='P phrases'!$A$3,3,IF($R$2='P phrases'!$A$4,4,IF($R$2='P phrases'!$A$5,5,IF($R$2='P phrases'!$A$6,6,IF($R$2='P phrases'!$A$7,7,IF($R$2='P phrases'!$A$8,8,2))))))),FALSE))</f>
        <v/>
      </c>
      <c r="D22" s="527"/>
      <c r="E22" s="527"/>
      <c r="F22" s="527"/>
      <c r="G22" s="527"/>
      <c r="H22" s="527"/>
      <c r="I22" s="527"/>
      <c r="J22" s="527"/>
      <c r="K22" s="527"/>
      <c r="L22" s="528"/>
      <c r="M22" s="64">
        <f t="shared" si="3"/>
        <v>0</v>
      </c>
      <c r="N22" s="90"/>
      <c r="O22" s="90"/>
      <c r="P22" s="90">
        <f>IF('gevaarljike stoffen'!$M$5="Not Allowed",0,BL21)</f>
        <v>0</v>
      </c>
      <c r="Q22" s="227"/>
      <c r="R22" s="525"/>
      <c r="S22" s="305">
        <f>IF(S11=0,0,VLOOKUP(S11,$V$73:$X$208,3,TRUE))</f>
        <v>0</v>
      </c>
      <c r="T22" s="305">
        <f t="shared" ref="T22:AP22" si="6">IF(T11=0,0,VLOOKUP(T11,$V$73:$X$208,3,TRUE))</f>
        <v>0</v>
      </c>
      <c r="U22" s="305">
        <f t="shared" si="6"/>
        <v>0</v>
      </c>
      <c r="V22" s="305">
        <f t="shared" si="6"/>
        <v>0</v>
      </c>
      <c r="W22" s="305">
        <f t="shared" si="6"/>
        <v>0</v>
      </c>
      <c r="X22" s="305">
        <f t="shared" si="6"/>
        <v>0</v>
      </c>
      <c r="Y22" s="305">
        <f t="shared" si="6"/>
        <v>0</v>
      </c>
      <c r="Z22" s="305">
        <f t="shared" si="6"/>
        <v>0</v>
      </c>
      <c r="AA22" s="305">
        <f t="shared" si="6"/>
        <v>0</v>
      </c>
      <c r="AB22" s="305">
        <f t="shared" si="6"/>
        <v>0</v>
      </c>
      <c r="AC22" s="305">
        <f t="shared" si="6"/>
        <v>0</v>
      </c>
      <c r="AD22" s="305">
        <f t="shared" si="6"/>
        <v>0</v>
      </c>
      <c r="AE22" s="305">
        <f t="shared" si="6"/>
        <v>0</v>
      </c>
      <c r="AF22" s="305">
        <f t="shared" si="6"/>
        <v>0</v>
      </c>
      <c r="AG22" s="305">
        <f t="shared" si="6"/>
        <v>0</v>
      </c>
      <c r="AH22" s="305">
        <f t="shared" si="6"/>
        <v>0</v>
      </c>
      <c r="AI22" s="305">
        <f t="shared" si="6"/>
        <v>0</v>
      </c>
      <c r="AJ22" s="305">
        <f t="shared" si="6"/>
        <v>0</v>
      </c>
      <c r="AK22" s="305">
        <f t="shared" si="6"/>
        <v>0</v>
      </c>
      <c r="AL22" s="305">
        <f t="shared" si="6"/>
        <v>0</v>
      </c>
      <c r="AM22" s="305">
        <f t="shared" si="6"/>
        <v>0</v>
      </c>
      <c r="AN22" s="305">
        <f t="shared" si="6"/>
        <v>0</v>
      </c>
      <c r="AO22" s="305">
        <f t="shared" si="6"/>
        <v>0</v>
      </c>
      <c r="AP22" s="305">
        <f t="shared" si="6"/>
        <v>0</v>
      </c>
      <c r="AQ22" s="305"/>
      <c r="AR22" s="305"/>
      <c r="AS22" s="305"/>
      <c r="AT22" s="305"/>
      <c r="AU22" s="304" t="e">
        <f>VLOOKUP(AT22,#REF!,2,FALSE)</f>
        <v>#REF!</v>
      </c>
      <c r="AV22" s="304">
        <f t="shared" si="5"/>
        <v>0</v>
      </c>
      <c r="AW22" s="305">
        <f t="shared" ref="AW22:AW28" si="7">LARGE($AV$21:$AV$28,ROW()-ROW($AV$21)+1)</f>
        <v>0</v>
      </c>
      <c r="AX22" s="305"/>
      <c r="AY22" s="305">
        <f t="shared" ref="AY22:AY28" si="8">LARGE($AX$21:$AX$28,ROW()-ROW($AX$21)+1)</f>
        <v>0</v>
      </c>
      <c r="BD22" s="315">
        <f t="shared" ref="BD22:BD27" si="9">AX22/1</f>
        <v>0</v>
      </c>
      <c r="BE22" s="315">
        <f t="shared" ref="BE22:BE28" si="10">AX22/10</f>
        <v>0</v>
      </c>
      <c r="BF22" s="315">
        <f t="shared" ref="BF22:BF28" si="11">AX22/100</f>
        <v>0</v>
      </c>
      <c r="BG22" s="315">
        <f t="shared" ref="BG22:BG28" si="12">IF(AND(BD22&gt;0.6,BD22&lt;6),BD22,0)</f>
        <v>0</v>
      </c>
      <c r="BH22" s="315">
        <f t="shared" ref="BH22:BI28" si="13">IF(AND(BE22&gt;0.6,BE22&lt;6),BE22,0)</f>
        <v>0</v>
      </c>
      <c r="BI22" s="315">
        <f t="shared" si="13"/>
        <v>0</v>
      </c>
      <c r="BJ22" s="315">
        <f t="shared" ref="BJ22:BJ28" si="14">LARGE($BG$21:$BG$28,ROW()-ROW($BG$21)+1)</f>
        <v>0</v>
      </c>
      <c r="BK22" s="315">
        <f t="shared" ref="BK22:BK28" si="15">LARGE($BH$21:$BH$28,ROW()-ROW($BH$21)+1)</f>
        <v>0</v>
      </c>
      <c r="BL22" s="315">
        <f t="shared" ref="BL22:BL28" si="16">LARGE($BI$21:$BI$28,ROW()-ROW($BI$21)+1)</f>
        <v>0</v>
      </c>
    </row>
    <row r="23" spans="1:107" ht="120" x14ac:dyDescent="0.25">
      <c r="A23" s="233" t="s">
        <v>778</v>
      </c>
      <c r="B23" s="65">
        <f t="shared" si="2"/>
        <v>0</v>
      </c>
      <c r="C23" s="535" t="str">
        <f>IF(B23=0,"",VLOOKUP(B23,'P phrases'!$B$2:$I$137,IF($R$2='P phrases'!$A$2,2,IF($R$2='P phrases'!$A$3,3,IF($R$2='P phrases'!$A$4,4,IF($R$2='P phrases'!$A$5,5,IF($R$2='P phrases'!$A$6,6,IF($R$2='P phrases'!$A$7,7,IF($R$2='P phrases'!$A$8,8,2))))))),FALSE))</f>
        <v/>
      </c>
      <c r="D23" s="527"/>
      <c r="E23" s="527"/>
      <c r="F23" s="527"/>
      <c r="G23" s="527"/>
      <c r="H23" s="527"/>
      <c r="I23" s="527"/>
      <c r="J23" s="527"/>
      <c r="K23" s="527"/>
      <c r="L23" s="528"/>
      <c r="M23" s="64">
        <f t="shared" si="3"/>
        <v>0</v>
      </c>
      <c r="N23" s="519" t="s">
        <v>821</v>
      </c>
      <c r="O23" s="520"/>
      <c r="P23" s="520"/>
      <c r="Q23" s="520"/>
      <c r="R23" s="521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 t="e">
        <f>VLOOKUP(AT23,#REF!,2,FALSE)</f>
        <v>#REF!</v>
      </c>
      <c r="AV23" s="234">
        <f t="shared" si="5"/>
        <v>0</v>
      </c>
      <c r="AW23" s="234">
        <f t="shared" si="7"/>
        <v>0</v>
      </c>
      <c r="AX23" s="234"/>
      <c r="AY23" s="234">
        <f t="shared" si="8"/>
        <v>0</v>
      </c>
      <c r="AZ23" s="234"/>
      <c r="BA23" s="234"/>
      <c r="BB23" s="234"/>
      <c r="BC23" s="234"/>
      <c r="BD23" s="315">
        <f t="shared" si="9"/>
        <v>0</v>
      </c>
      <c r="BE23" s="315">
        <f t="shared" si="10"/>
        <v>0</v>
      </c>
      <c r="BF23" s="315">
        <f t="shared" si="11"/>
        <v>0</v>
      </c>
      <c r="BG23" s="315">
        <f t="shared" si="12"/>
        <v>0</v>
      </c>
      <c r="BH23" s="315">
        <f t="shared" si="13"/>
        <v>0</v>
      </c>
      <c r="BI23" s="315">
        <f t="shared" si="13"/>
        <v>0</v>
      </c>
      <c r="BJ23" s="315">
        <f t="shared" si="14"/>
        <v>0</v>
      </c>
      <c r="BK23" s="315">
        <f t="shared" si="15"/>
        <v>0</v>
      </c>
      <c r="BL23" s="315">
        <f t="shared" si="16"/>
        <v>0</v>
      </c>
      <c r="BM23" s="234"/>
      <c r="BN23" s="314"/>
      <c r="BO23" s="234"/>
      <c r="BP23" s="234"/>
      <c r="BQ23" s="234"/>
      <c r="BR23" s="234"/>
      <c r="BS23" s="234"/>
      <c r="BT23" s="234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</row>
    <row r="24" spans="1:107" x14ac:dyDescent="0.25">
      <c r="A24" s="114"/>
      <c r="B24" s="65">
        <f t="shared" si="2"/>
        <v>0</v>
      </c>
      <c r="C24" s="535" t="str">
        <f>IF(B24=0,"",VLOOKUP(B24,'P phrases'!$B$2:$I$137,IF($R$2='P phrases'!$A$2,2,IF($R$2='P phrases'!$A$3,3,IF($R$2='P phrases'!$A$4,4,IF($R$2='P phrases'!$A$5,5,IF($R$2='P phrases'!$A$6,6,IF($R$2='P phrases'!$A$7,7,IF($R$2='P phrases'!$A$8,8,2))))))),FALSE))</f>
        <v/>
      </c>
      <c r="D24" s="527"/>
      <c r="E24" s="527"/>
      <c r="F24" s="527"/>
      <c r="G24" s="527"/>
      <c r="H24" s="527"/>
      <c r="I24" s="527"/>
      <c r="J24" s="527"/>
      <c r="K24" s="527"/>
      <c r="L24" s="528"/>
      <c r="M24" s="64">
        <f t="shared" si="3"/>
        <v>0</v>
      </c>
      <c r="N24" s="522"/>
      <c r="O24" s="523"/>
      <c r="P24" s="523"/>
      <c r="Q24" s="524"/>
      <c r="R24" s="287"/>
      <c r="S24" s="305">
        <f>IF(S16=0,0,VLOOKUP(S16,$V$73:$X$208,3,TRUE))</f>
        <v>0</v>
      </c>
      <c r="T24" s="305">
        <f t="shared" ref="T24:AP24" si="17">IF(T16=0,0,VLOOKUP(T16,$V$73:$X$208,3,TRUE))</f>
        <v>0</v>
      </c>
      <c r="U24" s="305">
        <f t="shared" si="17"/>
        <v>0</v>
      </c>
      <c r="V24" s="305">
        <f t="shared" si="17"/>
        <v>0</v>
      </c>
      <c r="W24" s="305">
        <f t="shared" si="17"/>
        <v>0</v>
      </c>
      <c r="X24" s="305">
        <f t="shared" si="17"/>
        <v>0</v>
      </c>
      <c r="Y24" s="305">
        <f t="shared" si="17"/>
        <v>0</v>
      </c>
      <c r="Z24" s="305">
        <f t="shared" si="17"/>
        <v>0</v>
      </c>
      <c r="AA24" s="305">
        <f t="shared" si="17"/>
        <v>0</v>
      </c>
      <c r="AB24" s="305">
        <f t="shared" si="17"/>
        <v>0</v>
      </c>
      <c r="AC24" s="305">
        <f t="shared" si="17"/>
        <v>0</v>
      </c>
      <c r="AD24" s="305">
        <f t="shared" si="17"/>
        <v>0</v>
      </c>
      <c r="AE24" s="305">
        <f t="shared" si="17"/>
        <v>0</v>
      </c>
      <c r="AF24" s="305">
        <f t="shared" si="17"/>
        <v>0</v>
      </c>
      <c r="AG24" s="305">
        <f t="shared" si="17"/>
        <v>0</v>
      </c>
      <c r="AH24" s="305">
        <f t="shared" si="17"/>
        <v>0</v>
      </c>
      <c r="AI24" s="305">
        <f t="shared" si="17"/>
        <v>0</v>
      </c>
      <c r="AJ24" s="305">
        <f t="shared" si="17"/>
        <v>0</v>
      </c>
      <c r="AK24" s="305">
        <f t="shared" si="17"/>
        <v>0</v>
      </c>
      <c r="AL24" s="305">
        <f t="shared" si="17"/>
        <v>0</v>
      </c>
      <c r="AM24" s="305">
        <f t="shared" si="17"/>
        <v>0</v>
      </c>
      <c r="AN24" s="305">
        <f t="shared" si="17"/>
        <v>0</v>
      </c>
      <c r="AO24" s="305">
        <f t="shared" si="17"/>
        <v>0</v>
      </c>
      <c r="AP24" s="305">
        <f t="shared" si="17"/>
        <v>0</v>
      </c>
      <c r="AQ24" s="305">
        <f>IF($B5=0,0,VLOOKUP($B5,Scheme!$E$3:$AM$128,34,FALSE))</f>
        <v>0</v>
      </c>
      <c r="AT24" s="305">
        <f>IF($B5=0,0,VLOOKUP($B5,Scheme!$E$3:$AC$128,3,FALSE))</f>
        <v>0</v>
      </c>
      <c r="AU24" s="304" t="e">
        <f>VLOOKUP(AT24,#REF!,2,FALSE)</f>
        <v>#REF!</v>
      </c>
      <c r="AV24" s="304">
        <f t="shared" si="5"/>
        <v>0</v>
      </c>
      <c r="AW24" s="305">
        <f t="shared" si="7"/>
        <v>0</v>
      </c>
      <c r="AX24" s="305">
        <f>IF($B5=0,0,VLOOKUP($B5,Scheme!$E$3:$AM$128,35,FALSE))</f>
        <v>0</v>
      </c>
      <c r="AY24" s="305">
        <f t="shared" si="8"/>
        <v>0</v>
      </c>
      <c r="AZ24" s="305">
        <f>IF($B5=0,0,VLOOKUP($B5,Scheme!$E$3:$AM$128,32,FALSE))</f>
        <v>0</v>
      </c>
      <c r="BB24" s="305">
        <f>IF($B5=0,0,VLOOKUP($B5,Scheme!$E$3:$AM$128,33,FALSE))</f>
        <v>0</v>
      </c>
      <c r="BD24" s="315">
        <f t="shared" si="9"/>
        <v>0</v>
      </c>
      <c r="BE24" s="315">
        <f t="shared" si="10"/>
        <v>0</v>
      </c>
      <c r="BF24" s="315">
        <f t="shared" si="11"/>
        <v>0</v>
      </c>
      <c r="BG24" s="315">
        <f t="shared" si="12"/>
        <v>0</v>
      </c>
      <c r="BH24" s="315">
        <f t="shared" si="13"/>
        <v>0</v>
      </c>
      <c r="BI24" s="315">
        <f t="shared" si="13"/>
        <v>0</v>
      </c>
      <c r="BJ24" s="315">
        <f t="shared" si="14"/>
        <v>0</v>
      </c>
      <c r="BK24" s="315">
        <f t="shared" si="15"/>
        <v>0</v>
      </c>
      <c r="BL24" s="315">
        <f t="shared" si="16"/>
        <v>0</v>
      </c>
    </row>
    <row r="25" spans="1:107" x14ac:dyDescent="0.25">
      <c r="A25" s="114"/>
      <c r="B25" s="65">
        <f t="shared" si="2"/>
        <v>0</v>
      </c>
      <c r="C25" s="536" t="str">
        <f>IF(B25=0,"",VLOOKUP(B25,'P phrases'!$B$2:$I$137,IF($R$2='P phrases'!$A$2,2,IF($R$2='P phrases'!$A$3,3,IF($R$2='P phrases'!$A$4,4,IF($R$2='P phrases'!$A$5,5,IF($R$2='P phrases'!$A$6,6,IF($R$2='P phrases'!$A$7,7,IF($R$2='P phrases'!$A$8,8,2))))))),FALSE))</f>
        <v/>
      </c>
      <c r="D25" s="537"/>
      <c r="E25" s="537"/>
      <c r="F25" s="537"/>
      <c r="G25" s="537"/>
      <c r="H25" s="537"/>
      <c r="I25" s="537"/>
      <c r="J25" s="537"/>
      <c r="K25" s="537"/>
      <c r="L25" s="538"/>
      <c r="M25" s="64">
        <f t="shared" si="3"/>
        <v>0</v>
      </c>
      <c r="N25" s="516"/>
      <c r="O25" s="517"/>
      <c r="P25" s="517"/>
      <c r="Q25" s="518"/>
      <c r="R25" s="288"/>
      <c r="S25" s="305">
        <f>IF(S17=0,0,VLOOKUP(S17,$V$73:$X$208,3,TRUE))</f>
        <v>0</v>
      </c>
      <c r="T25" s="305">
        <f t="shared" ref="T25:AP25" si="18">IF(T17=0,0,VLOOKUP(T17,$V$73:$X$208,3,TRUE))</f>
        <v>0</v>
      </c>
      <c r="U25" s="305">
        <f t="shared" si="18"/>
        <v>0</v>
      </c>
      <c r="V25" s="305">
        <f t="shared" si="18"/>
        <v>0</v>
      </c>
      <c r="W25" s="305">
        <f t="shared" si="18"/>
        <v>0</v>
      </c>
      <c r="X25" s="305">
        <f t="shared" si="18"/>
        <v>0</v>
      </c>
      <c r="Y25" s="305">
        <f t="shared" si="18"/>
        <v>0</v>
      </c>
      <c r="Z25" s="305">
        <f t="shared" si="18"/>
        <v>0</v>
      </c>
      <c r="AA25" s="305">
        <f t="shared" si="18"/>
        <v>0</v>
      </c>
      <c r="AB25" s="305">
        <f t="shared" si="18"/>
        <v>0</v>
      </c>
      <c r="AC25" s="305">
        <f t="shared" si="18"/>
        <v>0</v>
      </c>
      <c r="AD25" s="305">
        <f t="shared" si="18"/>
        <v>0</v>
      </c>
      <c r="AE25" s="305">
        <f t="shared" si="18"/>
        <v>0</v>
      </c>
      <c r="AF25" s="305">
        <f t="shared" si="18"/>
        <v>0</v>
      </c>
      <c r="AG25" s="305">
        <f t="shared" si="18"/>
        <v>0</v>
      </c>
      <c r="AH25" s="305">
        <f t="shared" si="18"/>
        <v>0</v>
      </c>
      <c r="AI25" s="305">
        <f t="shared" si="18"/>
        <v>0</v>
      </c>
      <c r="AJ25" s="305">
        <f t="shared" si="18"/>
        <v>0</v>
      </c>
      <c r="AK25" s="305">
        <f t="shared" si="18"/>
        <v>0</v>
      </c>
      <c r="AL25" s="305">
        <f t="shared" si="18"/>
        <v>0</v>
      </c>
      <c r="AM25" s="305">
        <f t="shared" si="18"/>
        <v>0</v>
      </c>
      <c r="AN25" s="305">
        <f t="shared" si="18"/>
        <v>0</v>
      </c>
      <c r="AO25" s="305">
        <f t="shared" si="18"/>
        <v>0</v>
      </c>
      <c r="AP25" s="305">
        <f t="shared" si="18"/>
        <v>0</v>
      </c>
      <c r="AQ25" s="305">
        <f>IF($B6=0,0,VLOOKUP($B6,Scheme!$E$3:$AM$128,34,FALSE))</f>
        <v>0</v>
      </c>
      <c r="AR25" s="304" t="b">
        <f>OR(AQ21="Danger",AQ24="Danger",AQ25="Danger",AQ26="Danger",AQ27="Danger",AQ28="Danger")</f>
        <v>0</v>
      </c>
      <c r="AT25" s="305">
        <f>IF($B6=0,0,VLOOKUP($B6,Scheme!$E$3:$AC$128,3,FALSE))</f>
        <v>0</v>
      </c>
      <c r="AU25" s="304" t="e">
        <f>VLOOKUP(AT25,#REF!,2,FALSE)</f>
        <v>#REF!</v>
      </c>
      <c r="AV25" s="304">
        <f t="shared" si="5"/>
        <v>0</v>
      </c>
      <c r="AW25" s="305">
        <f t="shared" si="7"/>
        <v>0</v>
      </c>
      <c r="AX25" s="305">
        <f>IF($B6=0,0,VLOOKUP($B6,Scheme!$E$3:$AM$128,35,FALSE))</f>
        <v>0</v>
      </c>
      <c r="AY25" s="305">
        <f t="shared" si="8"/>
        <v>0</v>
      </c>
      <c r="AZ25" s="305">
        <f>IF($B6=0,0,VLOOKUP($B6,Scheme!$E$3:$AM$128,32,FALSE))</f>
        <v>0</v>
      </c>
      <c r="BB25" s="305">
        <f>IF($B6=0,0,VLOOKUP($B6,Scheme!$E$3:$AM$128,33,FALSE))</f>
        <v>0</v>
      </c>
      <c r="BD25" s="315">
        <f t="shared" si="9"/>
        <v>0</v>
      </c>
      <c r="BE25" s="315">
        <f t="shared" si="10"/>
        <v>0</v>
      </c>
      <c r="BF25" s="315">
        <f t="shared" si="11"/>
        <v>0</v>
      </c>
      <c r="BG25" s="315">
        <f t="shared" si="12"/>
        <v>0</v>
      </c>
      <c r="BH25" s="315">
        <f t="shared" si="13"/>
        <v>0</v>
      </c>
      <c r="BI25" s="315">
        <f t="shared" si="13"/>
        <v>0</v>
      </c>
      <c r="BJ25" s="315">
        <f t="shared" si="14"/>
        <v>0</v>
      </c>
      <c r="BK25" s="315">
        <f t="shared" si="15"/>
        <v>0</v>
      </c>
      <c r="BL25" s="315">
        <f t="shared" si="16"/>
        <v>0</v>
      </c>
    </row>
    <row r="26" spans="1:107" x14ac:dyDescent="0.25">
      <c r="A26" s="257"/>
      <c r="B26" s="258">
        <f t="shared" si="2"/>
        <v>0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9"/>
      <c r="M26" s="259">
        <f t="shared" si="3"/>
        <v>0</v>
      </c>
      <c r="N26" s="260"/>
      <c r="O26" s="260"/>
      <c r="P26" s="260"/>
      <c r="Q26" s="261"/>
      <c r="R26" s="262"/>
      <c r="S26" s="305">
        <f>IF(S18=0,0,VLOOKUP(S18,$V$73:$X$208,3,TRUE))</f>
        <v>0</v>
      </c>
      <c r="T26" s="305">
        <f t="shared" ref="T26:AP26" si="19">IF(T18=0,0,VLOOKUP(T18,$V$73:$X$208,3,TRUE))</f>
        <v>0</v>
      </c>
      <c r="U26" s="305">
        <f t="shared" si="19"/>
        <v>0</v>
      </c>
      <c r="V26" s="305">
        <f t="shared" si="19"/>
        <v>0</v>
      </c>
      <c r="W26" s="305">
        <f t="shared" si="19"/>
        <v>0</v>
      </c>
      <c r="X26" s="305">
        <f t="shared" si="19"/>
        <v>0</v>
      </c>
      <c r="Y26" s="305">
        <f t="shared" si="19"/>
        <v>0</v>
      </c>
      <c r="Z26" s="305">
        <f t="shared" si="19"/>
        <v>0</v>
      </c>
      <c r="AA26" s="305">
        <f t="shared" si="19"/>
        <v>0</v>
      </c>
      <c r="AB26" s="305">
        <f t="shared" si="19"/>
        <v>0</v>
      </c>
      <c r="AC26" s="305">
        <f t="shared" si="19"/>
        <v>0</v>
      </c>
      <c r="AD26" s="305">
        <f t="shared" si="19"/>
        <v>0</v>
      </c>
      <c r="AE26" s="305">
        <f t="shared" si="19"/>
        <v>0</v>
      </c>
      <c r="AF26" s="305">
        <f t="shared" si="19"/>
        <v>0</v>
      </c>
      <c r="AG26" s="305">
        <f t="shared" si="19"/>
        <v>0</v>
      </c>
      <c r="AH26" s="305">
        <f t="shared" si="19"/>
        <v>0</v>
      </c>
      <c r="AI26" s="305">
        <f t="shared" si="19"/>
        <v>0</v>
      </c>
      <c r="AJ26" s="305">
        <f t="shared" si="19"/>
        <v>0</v>
      </c>
      <c r="AK26" s="305">
        <f t="shared" si="19"/>
        <v>0</v>
      </c>
      <c r="AL26" s="305">
        <f t="shared" si="19"/>
        <v>0</v>
      </c>
      <c r="AM26" s="305">
        <f t="shared" si="19"/>
        <v>0</v>
      </c>
      <c r="AN26" s="305">
        <f t="shared" si="19"/>
        <v>0</v>
      </c>
      <c r="AO26" s="305">
        <f t="shared" si="19"/>
        <v>0</v>
      </c>
      <c r="AP26" s="305">
        <f t="shared" si="19"/>
        <v>0</v>
      </c>
      <c r="AQ26" s="305">
        <f>IF($B7=0,0,VLOOKUP($B7,Scheme!$E$3:$AM$128,34,FALSE))</f>
        <v>0</v>
      </c>
      <c r="AR26" s="304" t="b">
        <f>OR(AQ21="Warning",AQ24="Warning",AQ25="Warning",AQ26="Warning",AQ27="Warning",AQ28="Warning")</f>
        <v>0</v>
      </c>
      <c r="AT26" s="305">
        <f>IF($B7=0,0,VLOOKUP($B7,Scheme!$E$3:$AC$128,3,FALSE))</f>
        <v>0</v>
      </c>
      <c r="AU26" s="304" t="e">
        <f>VLOOKUP(AT26,#REF!,2,FALSE)</f>
        <v>#REF!</v>
      </c>
      <c r="AV26" s="304">
        <f t="shared" si="5"/>
        <v>0</v>
      </c>
      <c r="AW26" s="305">
        <f t="shared" si="7"/>
        <v>0</v>
      </c>
      <c r="AX26" s="305">
        <f>IF($B7=0,0,VLOOKUP($B7,Scheme!$E$3:$AM$128,35,FALSE))</f>
        <v>0</v>
      </c>
      <c r="AY26" s="305">
        <f t="shared" si="8"/>
        <v>0</v>
      </c>
      <c r="AZ26" s="305">
        <f>IF($B7=0,0,VLOOKUP($B7,Scheme!$E$3:$AM$128,32,FALSE))</f>
        <v>0</v>
      </c>
      <c r="BB26" s="305">
        <f>IF($B7=0,0,VLOOKUP($B7,Scheme!$E$3:$AM$128,33,FALSE))</f>
        <v>0</v>
      </c>
      <c r="BD26" s="315">
        <f t="shared" si="9"/>
        <v>0</v>
      </c>
      <c r="BE26" s="315">
        <f t="shared" si="10"/>
        <v>0</v>
      </c>
      <c r="BF26" s="315">
        <f t="shared" si="11"/>
        <v>0</v>
      </c>
      <c r="BG26" s="315">
        <f t="shared" si="12"/>
        <v>0</v>
      </c>
      <c r="BH26" s="315">
        <f t="shared" si="13"/>
        <v>0</v>
      </c>
      <c r="BI26" s="315">
        <f t="shared" si="13"/>
        <v>0</v>
      </c>
      <c r="BJ26" s="315">
        <f t="shared" si="14"/>
        <v>0</v>
      </c>
      <c r="BK26" s="315">
        <f t="shared" si="15"/>
        <v>0</v>
      </c>
      <c r="BL26" s="315">
        <f t="shared" si="16"/>
        <v>0</v>
      </c>
    </row>
    <row r="27" spans="1:107" x14ac:dyDescent="0.25">
      <c r="B27" s="67">
        <f t="shared" si="2"/>
        <v>0</v>
      </c>
      <c r="C27" s="67"/>
      <c r="D27" s="67"/>
      <c r="E27" s="67"/>
      <c r="F27" s="67"/>
      <c r="G27" s="67"/>
      <c r="H27" s="67"/>
      <c r="I27" s="67"/>
      <c r="J27" s="67"/>
      <c r="K27" s="67"/>
      <c r="L27" s="89"/>
      <c r="M27" s="89">
        <f t="shared" si="3"/>
        <v>0</v>
      </c>
      <c r="N27" s="115"/>
      <c r="O27" s="115"/>
      <c r="P27" s="115"/>
      <c r="Q27" s="68"/>
      <c r="R27" s="501"/>
      <c r="S27" s="305">
        <f>IF(S19=0,0,VLOOKUP(S19,$V$73:$X$208,3,TRUE))</f>
        <v>0</v>
      </c>
      <c r="T27" s="305">
        <f t="shared" ref="T27:AP27" si="20">IF(T19=0,0,VLOOKUP(T19,$V$73:$X$208,3,TRUE))</f>
        <v>0</v>
      </c>
      <c r="U27" s="305">
        <f t="shared" si="20"/>
        <v>0</v>
      </c>
      <c r="V27" s="305">
        <f t="shared" si="20"/>
        <v>0</v>
      </c>
      <c r="W27" s="305">
        <f t="shared" si="20"/>
        <v>0</v>
      </c>
      <c r="X27" s="305">
        <f t="shared" si="20"/>
        <v>0</v>
      </c>
      <c r="Y27" s="305">
        <f t="shared" si="20"/>
        <v>0</v>
      </c>
      <c r="Z27" s="305">
        <f t="shared" si="20"/>
        <v>0</v>
      </c>
      <c r="AA27" s="305">
        <f t="shared" si="20"/>
        <v>0</v>
      </c>
      <c r="AB27" s="305">
        <f t="shared" si="20"/>
        <v>0</v>
      </c>
      <c r="AC27" s="305">
        <f t="shared" si="20"/>
        <v>0</v>
      </c>
      <c r="AD27" s="305">
        <f t="shared" si="20"/>
        <v>0</v>
      </c>
      <c r="AE27" s="305">
        <f t="shared" si="20"/>
        <v>0</v>
      </c>
      <c r="AF27" s="305">
        <f t="shared" si="20"/>
        <v>0</v>
      </c>
      <c r="AG27" s="305">
        <f t="shared" si="20"/>
        <v>0</v>
      </c>
      <c r="AH27" s="305">
        <f t="shared" si="20"/>
        <v>0</v>
      </c>
      <c r="AI27" s="305">
        <f t="shared" si="20"/>
        <v>0</v>
      </c>
      <c r="AJ27" s="305">
        <f t="shared" si="20"/>
        <v>0</v>
      </c>
      <c r="AK27" s="305">
        <f t="shared" si="20"/>
        <v>0</v>
      </c>
      <c r="AL27" s="305">
        <f t="shared" si="20"/>
        <v>0</v>
      </c>
      <c r="AM27" s="305">
        <f t="shared" si="20"/>
        <v>0</v>
      </c>
      <c r="AN27" s="305">
        <f t="shared" si="20"/>
        <v>0</v>
      </c>
      <c r="AO27" s="305">
        <f t="shared" si="20"/>
        <v>0</v>
      </c>
      <c r="AP27" s="305">
        <f t="shared" si="20"/>
        <v>0</v>
      </c>
      <c r="AQ27" s="305">
        <f>IF($B8=0,0,VLOOKUP($B8,Scheme!$E$3:$AM$128,34,FALSE))</f>
        <v>0</v>
      </c>
      <c r="AR27" s="305">
        <f>IF(AR25,"Danger",IF(AR26,"Warning",0))</f>
        <v>0</v>
      </c>
      <c r="AT27" s="305">
        <f>IF($B8=0,0,VLOOKUP($B8,Scheme!$E$3:$AC$128,3,FALSE))</f>
        <v>0</v>
      </c>
      <c r="AU27" s="304" t="e">
        <f>VLOOKUP(AT27,#REF!,2,FALSE)</f>
        <v>#REF!</v>
      </c>
      <c r="AV27" s="304">
        <f t="shared" si="5"/>
        <v>0</v>
      </c>
      <c r="AW27" s="305">
        <f t="shared" si="7"/>
        <v>0</v>
      </c>
      <c r="AX27" s="305">
        <f>IF($B8=0,0,VLOOKUP($B8,Scheme!$E$3:$AM$128,35,FALSE))</f>
        <v>0</v>
      </c>
      <c r="AY27" s="305" t="e">
        <f t="shared" si="8"/>
        <v>#NUM!</v>
      </c>
      <c r="AZ27" s="305">
        <f>IF($B8=0,0,VLOOKUP($B8,Scheme!$E$3:$AM$128,32,FALSE))</f>
        <v>0</v>
      </c>
      <c r="BB27" s="305">
        <f>IF($B8=0,0,VLOOKUP($B8,Scheme!$E$3:$AM$128,33,FALSE))</f>
        <v>0</v>
      </c>
      <c r="BD27" s="315">
        <f t="shared" si="9"/>
        <v>0</v>
      </c>
      <c r="BE27" s="315">
        <f t="shared" si="10"/>
        <v>0</v>
      </c>
      <c r="BF27" s="315">
        <f t="shared" si="11"/>
        <v>0</v>
      </c>
      <c r="BG27" s="315">
        <f t="shared" si="12"/>
        <v>0</v>
      </c>
      <c r="BH27" s="315">
        <f t="shared" si="13"/>
        <v>0</v>
      </c>
      <c r="BI27" s="315">
        <f t="shared" si="13"/>
        <v>0</v>
      </c>
      <c r="BJ27" s="315">
        <f t="shared" si="14"/>
        <v>0</v>
      </c>
      <c r="BK27" s="315">
        <f t="shared" si="15"/>
        <v>0</v>
      </c>
      <c r="BL27" s="315">
        <f t="shared" si="16"/>
        <v>0</v>
      </c>
    </row>
    <row r="28" spans="1:107" x14ac:dyDescent="0.25">
      <c r="B28" s="67">
        <f t="shared" si="2"/>
        <v>0</v>
      </c>
      <c r="C28" s="67"/>
      <c r="D28" s="67"/>
      <c r="E28" s="67"/>
      <c r="F28" s="67"/>
      <c r="G28" s="67"/>
      <c r="H28" s="67"/>
      <c r="I28" s="67"/>
      <c r="J28" s="67"/>
      <c r="K28" s="67"/>
      <c r="L28" s="89"/>
      <c r="M28" s="89">
        <f t="shared" si="3"/>
        <v>0</v>
      </c>
      <c r="N28" s="115"/>
      <c r="O28" s="115"/>
      <c r="P28" s="115"/>
      <c r="Q28" s="68"/>
      <c r="R28" s="501"/>
      <c r="S28" s="305">
        <f>IF(S20=0,0,VLOOKUP(S20,$V$73:$X$208,3,TRUE))</f>
        <v>0</v>
      </c>
      <c r="T28" s="305">
        <f t="shared" ref="T28:AP28" si="21">IF(T20=0,0,VLOOKUP(T20,$V$73:$X$208,3,TRUE))</f>
        <v>0</v>
      </c>
      <c r="U28" s="305">
        <f t="shared" si="21"/>
        <v>0</v>
      </c>
      <c r="V28" s="305">
        <f t="shared" si="21"/>
        <v>0</v>
      </c>
      <c r="W28" s="305">
        <f t="shared" si="21"/>
        <v>0</v>
      </c>
      <c r="X28" s="305">
        <f t="shared" si="21"/>
        <v>0</v>
      </c>
      <c r="Y28" s="305">
        <f t="shared" si="21"/>
        <v>0</v>
      </c>
      <c r="Z28" s="305">
        <f t="shared" si="21"/>
        <v>0</v>
      </c>
      <c r="AA28" s="305">
        <f t="shared" si="21"/>
        <v>0</v>
      </c>
      <c r="AB28" s="305">
        <f t="shared" si="21"/>
        <v>0</v>
      </c>
      <c r="AC28" s="305">
        <f t="shared" si="21"/>
        <v>0</v>
      </c>
      <c r="AD28" s="305">
        <f t="shared" si="21"/>
        <v>0</v>
      </c>
      <c r="AE28" s="305">
        <f t="shared" si="21"/>
        <v>0</v>
      </c>
      <c r="AF28" s="305">
        <f t="shared" si="21"/>
        <v>0</v>
      </c>
      <c r="AG28" s="305">
        <f t="shared" si="21"/>
        <v>0</v>
      </c>
      <c r="AH28" s="305">
        <f t="shared" si="21"/>
        <v>0</v>
      </c>
      <c r="AI28" s="305">
        <f t="shared" si="21"/>
        <v>0</v>
      </c>
      <c r="AJ28" s="305">
        <f t="shared" si="21"/>
        <v>0</v>
      </c>
      <c r="AK28" s="305">
        <f t="shared" si="21"/>
        <v>0</v>
      </c>
      <c r="AL28" s="305">
        <f t="shared" si="21"/>
        <v>0</v>
      </c>
      <c r="AM28" s="305">
        <f t="shared" si="21"/>
        <v>0</v>
      </c>
      <c r="AN28" s="305">
        <f t="shared" si="21"/>
        <v>0</v>
      </c>
      <c r="AO28" s="305">
        <f t="shared" si="21"/>
        <v>0</v>
      </c>
      <c r="AP28" s="305">
        <f t="shared" si="21"/>
        <v>0</v>
      </c>
      <c r="AQ28" s="305">
        <f>IF($B9=0,0,VLOOKUP($B9,Scheme!$E$3:$AM$128,34,FALSE))</f>
        <v>0</v>
      </c>
      <c r="AT28" s="305">
        <f>IF($B9=0,0,VLOOKUP($B9,Scheme!$E$3:$AC$128,3,FALSE))</f>
        <v>0</v>
      </c>
      <c r="AU28" s="304" t="e">
        <f>VLOOKUP(AT28,#REF!,2,FALSE)</f>
        <v>#REF!</v>
      </c>
      <c r="AV28" s="304">
        <f t="shared" si="5"/>
        <v>0</v>
      </c>
      <c r="AW28" s="305">
        <f t="shared" si="7"/>
        <v>0</v>
      </c>
      <c r="AX28" s="305">
        <f>IF($B9=0,0,VLOOKUP($B9,Scheme!$E$3:$AM$128,35,FALSE))</f>
        <v>0</v>
      </c>
      <c r="AY28" s="305" t="e">
        <f t="shared" si="8"/>
        <v>#NUM!</v>
      </c>
      <c r="AZ28" s="305">
        <f>IF($B9=0,0,VLOOKUP($B9,Scheme!$E$3:$AM$128,32,FALSE))</f>
        <v>0</v>
      </c>
      <c r="BB28" s="305">
        <f>IF($B9=0,0,VLOOKUP($B9,Scheme!$E$3:$AM$128,33,FALSE))</f>
        <v>0</v>
      </c>
      <c r="BD28" s="315"/>
      <c r="BE28" s="315">
        <f t="shared" si="10"/>
        <v>0</v>
      </c>
      <c r="BF28" s="315">
        <f t="shared" si="11"/>
        <v>0</v>
      </c>
      <c r="BG28" s="315">
        <f t="shared" si="12"/>
        <v>0</v>
      </c>
      <c r="BH28" s="315">
        <f t="shared" si="13"/>
        <v>0</v>
      </c>
      <c r="BI28" s="315">
        <f t="shared" si="13"/>
        <v>0</v>
      </c>
      <c r="BJ28" s="315">
        <f t="shared" si="14"/>
        <v>0</v>
      </c>
      <c r="BK28" s="315">
        <f t="shared" si="15"/>
        <v>0</v>
      </c>
      <c r="BL28" s="315">
        <f t="shared" si="16"/>
        <v>0</v>
      </c>
    </row>
    <row r="29" spans="1:107" x14ac:dyDescent="0.25">
      <c r="B29" s="67">
        <f t="shared" si="2"/>
        <v>0</v>
      </c>
      <c r="C29" s="67"/>
      <c r="D29" s="67"/>
      <c r="E29" s="67"/>
      <c r="F29" s="67"/>
      <c r="G29" s="67"/>
      <c r="H29" s="67"/>
      <c r="I29" s="67"/>
      <c r="J29" s="67"/>
      <c r="K29" s="67"/>
      <c r="L29" s="89"/>
      <c r="M29" s="89">
        <f t="shared" si="3"/>
        <v>0</v>
      </c>
      <c r="N29" s="115"/>
      <c r="O29" s="115"/>
      <c r="P29" s="115"/>
      <c r="Q29" s="68"/>
      <c r="R29" s="501"/>
      <c r="S29" s="305" t="s">
        <v>832</v>
      </c>
      <c r="T29" s="305"/>
      <c r="U29" s="305">
        <v>0</v>
      </c>
      <c r="V29" s="305"/>
      <c r="W29" s="305"/>
      <c r="X29" s="305"/>
      <c r="Y29" s="305"/>
      <c r="Z29" s="305"/>
      <c r="AA29" s="305" t="s">
        <v>833</v>
      </c>
      <c r="AB29" s="305"/>
      <c r="AC29" s="305"/>
      <c r="AD29" s="305"/>
      <c r="AE29" s="305"/>
      <c r="AF29" s="305"/>
      <c r="AG29" s="305"/>
      <c r="AH29" s="305"/>
      <c r="AI29" s="305" t="s">
        <v>834</v>
      </c>
      <c r="AJ29" s="305"/>
      <c r="AK29" s="305"/>
      <c r="AL29" s="305"/>
      <c r="AM29" s="305"/>
      <c r="AN29" s="305"/>
      <c r="AO29" s="305"/>
      <c r="AP29" s="305"/>
      <c r="AR29" s="316" t="s">
        <v>656</v>
      </c>
      <c r="AS29" s="316" t="s">
        <v>655</v>
      </c>
      <c r="AT29" s="316"/>
      <c r="AY29" s="316" t="s">
        <v>657</v>
      </c>
      <c r="AZ29" s="316" t="s">
        <v>655</v>
      </c>
    </row>
    <row r="30" spans="1:107" x14ac:dyDescent="0.25">
      <c r="B30" s="67">
        <f t="shared" si="2"/>
        <v>0</v>
      </c>
      <c r="C30" s="67"/>
      <c r="D30" s="67"/>
      <c r="E30" s="67"/>
      <c r="F30" s="67"/>
      <c r="G30" s="67"/>
      <c r="H30" s="67"/>
      <c r="I30" s="67"/>
      <c r="J30" s="67"/>
      <c r="K30" s="67"/>
      <c r="L30" s="89"/>
      <c r="M30" s="89">
        <f t="shared" si="3"/>
        <v>0</v>
      </c>
      <c r="N30" s="115"/>
      <c r="O30" s="115"/>
      <c r="P30" s="115"/>
      <c r="Q30" s="68"/>
      <c r="R30" s="501"/>
      <c r="S30" s="305">
        <f>IF($AR$21,IF(S21&lt;&gt;0,S21,IF(U21&lt;&gt;0,U21,IF(V21&lt;&gt;0,V21,IF(W21&lt;&gt;0,W21,IF(X21&lt;&gt;0,X21,IF(Y21&lt;&gt;0,Y21,IF(Z21&lt;&gt;0,Z21,0))))))),0)</f>
        <v>0</v>
      </c>
      <c r="T30" s="305">
        <f>S30</f>
        <v>0</v>
      </c>
      <c r="U30" s="317"/>
      <c r="V30" s="304">
        <f t="shared" ref="V30:V71" si="22">LARGE(T$30:T$71,ROW()-ROW(T$30)+1)</f>
        <v>0</v>
      </c>
      <c r="W30" s="304">
        <f>IF(ISNA(VLOOKUP(V30,V31:V71,1,FALSE)),V30,0)</f>
        <v>0</v>
      </c>
      <c r="X30" s="304">
        <f t="shared" ref="X30:X71" si="23">LARGE(W$30:W$71,ROW()-ROW(W$30)+1)</f>
        <v>0</v>
      </c>
      <c r="AA30" s="305">
        <f>IF($AR$21,IF(AA21&lt;&gt;0,AA21,IF(AC21&lt;&gt;0,AC21,IF(AD21&lt;&gt;0,AD21,IF(AE21&lt;&gt;0,AE21,IF(AF21&lt;&gt;0,AF21,IF(AG21&lt;&gt;0,AG21,IF(AH21&lt;&gt;0,AH21,0))))))),0)</f>
        <v>0</v>
      </c>
      <c r="AB30" s="305">
        <f>AA30</f>
        <v>0</v>
      </c>
      <c r="AC30" s="317"/>
      <c r="AD30" s="304">
        <f t="shared" ref="AD30:AD71" si="24">LARGE(AB$30:AB$71,ROW()-ROW(AB$30)+1)</f>
        <v>0</v>
      </c>
      <c r="AE30" s="304">
        <f>IF(ISNA(VLOOKUP(AD30,AD31:AD71,1,FALSE)),AD30,0)</f>
        <v>0</v>
      </c>
      <c r="AF30" s="304">
        <f t="shared" ref="AF30:AF71" si="25">LARGE(AE$30:AE$71,ROW()-ROW(AE$30)+1)</f>
        <v>0</v>
      </c>
      <c r="AI30" s="305">
        <f>IF($AR$21,IF(AI21&lt;&gt;0,AI21,IF(AK21&lt;&gt;0,AK21,IF(AL21&lt;&gt;0,AL21,IF(AM21&lt;&gt;0,AM21,IF(AN21&lt;&gt;0,AN21,IF(AO21&lt;&gt;0,AO21,IF(AP21&lt;&gt;0,AP21,0))))))),0)</f>
        <v>0</v>
      </c>
      <c r="AJ30" s="305">
        <f>AI30</f>
        <v>0</v>
      </c>
      <c r="AK30" s="317"/>
      <c r="AL30" s="304">
        <f t="shared" ref="AL30:AL71" si="26">LARGE(AJ$30:AJ$71,ROW()-ROW(AJ$30)+1)</f>
        <v>0</v>
      </c>
      <c r="AM30" s="304">
        <f>IF(ISNA(VLOOKUP(AL30,AL31:AL71,1,FALSE)),AL30,0)</f>
        <v>0</v>
      </c>
      <c r="AN30" s="304">
        <f t="shared" ref="AN30:AN71" si="27">LARGE(AM$30:AM$71,ROW()-ROW(AM$30)+1)</f>
        <v>0</v>
      </c>
      <c r="AP30" s="304">
        <f>X30</f>
        <v>0</v>
      </c>
      <c r="AQ30" s="304">
        <f>IF(AP30=0,0,1)</f>
        <v>0</v>
      </c>
      <c r="AR30" s="304">
        <f t="shared" ref="AR30:AR61" si="28">LARGE($AP$30:$AP$155,ROW()-ROW($AP$30)+1)</f>
        <v>0</v>
      </c>
      <c r="AS30" s="304">
        <f t="shared" ref="AS30:AS61" si="29">VLOOKUP(AR30,$AP$30:$AQ$155,2,FALSE)</f>
        <v>0</v>
      </c>
      <c r="AU30" s="304" t="e">
        <f>VLOOKUP(AR30,'Priority rules'!$U$15:$V$32,2,FALSE)</f>
        <v>#N/A</v>
      </c>
      <c r="AV30" s="304" t="e">
        <f>IF(AU30,1,NA())</f>
        <v>#N/A</v>
      </c>
      <c r="AW30" s="304" t="b">
        <f>ISNUMBER(AV30)</f>
        <v>0</v>
      </c>
      <c r="AX30" s="304">
        <f>IF(AW30,AR30-AR30,AR30)</f>
        <v>0</v>
      </c>
      <c r="AY30" s="304">
        <f t="shared" ref="AY30:AY61" si="30">LARGE($AX$30:$AX$155,ROW()-ROW($AX$30)+1)</f>
        <v>0</v>
      </c>
      <c r="AZ30" s="304">
        <f t="shared" ref="AZ30:AZ61" si="31">VLOOKUP(AY30,$AP$30:$AQ$155,2,FALSE)</f>
        <v>0</v>
      </c>
      <c r="BA30" s="304">
        <f>AY30</f>
        <v>0</v>
      </c>
      <c r="BB30" s="304">
        <f>BA30</f>
        <v>0</v>
      </c>
      <c r="BC30" s="304">
        <f t="shared" ref="BC30:BC61" si="32">VLOOKUP(BB30,$AP$30:$AQ$155,2,FALSE)</f>
        <v>0</v>
      </c>
      <c r="BD30" s="304">
        <f>IF(BC30=1,BB30,0)</f>
        <v>0</v>
      </c>
      <c r="BE30" s="304">
        <f>IF(BC30=2,BB30,0)</f>
        <v>0</v>
      </c>
      <c r="BF30" s="304">
        <f>IF(BC30=3,BB30,0)</f>
        <v>0</v>
      </c>
      <c r="BG30" s="304">
        <f t="shared" ref="BG30:BG61" si="33">LARGE($BD$30:$BD$155,ROW()-ROW($BD$30)+1)</f>
        <v>0</v>
      </c>
      <c r="BH30" s="304">
        <f t="shared" ref="BH30:BH61" si="34">LARGE($BE$30:$BE$155,ROW()-ROW($BE$30)+1)</f>
        <v>0</v>
      </c>
      <c r="BI30" s="304">
        <f t="shared" ref="BI30:BI61" si="35">LARGE($BF$30:$BF$155,ROW()-ROW($BF$30)+1)</f>
        <v>0</v>
      </c>
      <c r="BJ30" s="304">
        <f>IF(OR(BD$156=1,BD$156=2,BD$156=3,BD$156=4,BD$156=5,BD$156=6,BD$156=7,BD$156=8),BG30,
IF(BE156=0,0,BH30))</f>
        <v>0</v>
      </c>
      <c r="BK30" s="304">
        <f>IF(BJ30&lt;&gt;0,BJ30,$BI$30)</f>
        <v>0</v>
      </c>
      <c r="BL30" s="304">
        <f t="shared" ref="BL30:BL35" si="36">BK30</f>
        <v>0</v>
      </c>
      <c r="BM30" s="304">
        <f t="shared" ref="BM30:BM43" si="37">VLOOKUP(BL30,$AP$30:$AQ$155,2,FALSE)</f>
        <v>0</v>
      </c>
    </row>
    <row r="31" spans="1:107" x14ac:dyDescent="0.25">
      <c r="A31" s="542" t="s">
        <v>2254</v>
      </c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4"/>
      <c r="S31" s="305">
        <f>IF($AR$21,IF(U21&lt;&gt;0,U21,IF(V21&lt;&gt;0,V21,IF(W21&lt;&gt;0,W21,IF(X21&lt;&gt;0,X21,IF(Y21&lt;&gt;0,Y21,IF(Z21&lt;&gt;0,Z21,0)))))),0)</f>
        <v>0</v>
      </c>
      <c r="T31" s="305">
        <f>IF(T30=0,0,IF(T30=S$21,S31,IF(T30=U$21,S32,IF(T30=V$21,S33,IF(T30=W$21,S34,IF(T30=X$21,S35,IF(T30=Y$21,S36,IF(T30=Z$21,0,0))))))))</f>
        <v>0</v>
      </c>
      <c r="U31" s="305"/>
      <c r="V31" s="304">
        <f t="shared" si="22"/>
        <v>0</v>
      </c>
      <c r="W31" s="304">
        <f>IF(ISNA(VLOOKUP(V31,V32:V72,1,FALSE)),V31,0)</f>
        <v>0</v>
      </c>
      <c r="X31" s="304">
        <f t="shared" si="23"/>
        <v>0</v>
      </c>
      <c r="AA31" s="305">
        <f>IF($AR$21,IF(AC21&lt;&gt;0,AC21,IF(AD21&lt;&gt;0,AD21,IF(AE21&lt;&gt;0,AE21,IF(AF21&lt;&gt;0,AF21,IF(AG21&lt;&gt;0,AG21,IF(AH21&lt;&gt;0,AH21,0)))))),0)</f>
        <v>0</v>
      </c>
      <c r="AB31" s="305">
        <f>IF(AB30=0,0,IF(AB30=AA$21,AA31,IF(AB30=AC$21,AA32,IF(AB30=AD$21,AA33,IF(AB30=AE$21,AA34,IF(AB30=AF$21,AA35,IF(AB30=AG$21,AA36,IF(AB30=AH$21,0,0))))))))</f>
        <v>0</v>
      </c>
      <c r="AC31" s="305"/>
      <c r="AD31" s="304">
        <f t="shared" si="24"/>
        <v>0</v>
      </c>
      <c r="AE31" s="304">
        <f>IF(ISNA(VLOOKUP(AD31,AD32:AD72,1,FALSE)),AD31,0)</f>
        <v>0</v>
      </c>
      <c r="AF31" s="304">
        <f t="shared" si="25"/>
        <v>0</v>
      </c>
      <c r="AI31" s="305">
        <f>IF($AR$21,IF(AK21&lt;&gt;0,AK21,IF(AL21&lt;&gt;0,AL21,IF(AM21&lt;&gt;0,AM21,IF(AN21&lt;&gt;0,AN21,IF(AO21&lt;&gt;0,AO21,IF(AP21&lt;&gt;0,AP21,0)))))),0)</f>
        <v>0</v>
      </c>
      <c r="AJ31" s="305">
        <f>IF(AJ30=0,0,IF(AJ30=AI$21,AI31,IF(AJ30=AK$21,AI32,IF(AJ30=AL$21,AI33,IF(AJ30=AM$21,AI34,IF(AJ30=AN$21,AI35,IF(AJ30=AO$21,AI36,IF(AJ30=AP$21,0,0))))))))</f>
        <v>0</v>
      </c>
      <c r="AK31" s="305"/>
      <c r="AL31" s="304">
        <f t="shared" si="26"/>
        <v>0</v>
      </c>
      <c r="AM31" s="304">
        <f>IF(ISNA(VLOOKUP(AL31,AL32:AL72,1,FALSE)),AL31,0)</f>
        <v>0</v>
      </c>
      <c r="AN31" s="304">
        <f t="shared" si="27"/>
        <v>0</v>
      </c>
      <c r="AP31" s="304">
        <f t="shared" ref="AP31:AP71" si="38">X31</f>
        <v>0</v>
      </c>
      <c r="AQ31" s="304">
        <f t="shared" ref="AQ31:AQ71" si="39">IF(AP31=0,0,1)</f>
        <v>0</v>
      </c>
      <c r="AR31" s="304">
        <f t="shared" si="28"/>
        <v>0</v>
      </c>
      <c r="AS31" s="304">
        <f t="shared" si="29"/>
        <v>0</v>
      </c>
      <c r="AU31" s="304" t="e">
        <f>VLOOKUP(AR31,'Priority rules'!$U$15:$V$32,2,FALSE)</f>
        <v>#N/A</v>
      </c>
      <c r="AV31" s="304" t="e">
        <f t="shared" ref="AV31:AV94" si="40">IF(AU31,1,NA())</f>
        <v>#N/A</v>
      </c>
      <c r="AW31" s="304" t="b">
        <f t="shared" ref="AW31:AW94" si="41">ISNUMBER(AV31)</f>
        <v>0</v>
      </c>
      <c r="AX31" s="304">
        <f t="shared" ref="AX31:AX94" si="42">IF(AW31,AR31-AR31,AR31)</f>
        <v>0</v>
      </c>
      <c r="AY31" s="304">
        <f t="shared" si="30"/>
        <v>0</v>
      </c>
      <c r="AZ31" s="304">
        <f t="shared" si="31"/>
        <v>0</v>
      </c>
      <c r="BA31" s="304">
        <f>IF(BA30=AY31,AY32,AY31)</f>
        <v>0</v>
      </c>
      <c r="BB31" s="304">
        <f>IF(BB30=BA31,BA32,BA31)</f>
        <v>0</v>
      </c>
      <c r="BC31" s="304">
        <f t="shared" si="32"/>
        <v>0</v>
      </c>
      <c r="BD31" s="304">
        <f t="shared" ref="BD31:BD94" si="43">IF(BC31=1,BB31,0)</f>
        <v>0</v>
      </c>
      <c r="BE31" s="304">
        <f t="shared" ref="BE31:BE94" si="44">IF(BC31=2,BB31,0)</f>
        <v>0</v>
      </c>
      <c r="BF31" s="304">
        <f t="shared" ref="BF31:BF94" si="45">IF(BC31=3,BB31,0)</f>
        <v>0</v>
      </c>
      <c r="BG31" s="304">
        <f t="shared" si="33"/>
        <v>0</v>
      </c>
      <c r="BH31" s="304">
        <f t="shared" si="34"/>
        <v>0</v>
      </c>
      <c r="BI31" s="304">
        <f t="shared" si="35"/>
        <v>0</v>
      </c>
      <c r="BJ31" s="304">
        <f>IF(OR(BD$156=2,BD$156=3,BD$156=4,BD$156=5,BD$156=6,BD$156=7,BD$156=8),BG31,
IF(BD$156=0,IF(OR(BE$156=1,BE$156=2,BE$156=3,BE$156=4,BE$156=5,BE$156=6),BH31,0),
IF(BD$156=1,IF(OR(BE$156=1,BE$156=2,BE$156=3,BE$156=4,BE$156=5,BE$156=6),BH30,0),
0)))</f>
        <v>0</v>
      </c>
      <c r="BK31" s="304">
        <f>IF(BJ31&lt;&gt;0,BJ31,IF(BK30=BI30,BI31,BI30))</f>
        <v>0</v>
      </c>
      <c r="BL31" s="304">
        <f t="shared" si="36"/>
        <v>0</v>
      </c>
      <c r="BM31" s="304">
        <f t="shared" si="37"/>
        <v>0</v>
      </c>
    </row>
    <row r="32" spans="1:107" ht="45" x14ac:dyDescent="0.25">
      <c r="A32" s="311"/>
      <c r="B32" s="493" t="s">
        <v>2325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312"/>
      <c r="N32" s="313" t="s">
        <v>2326</v>
      </c>
      <c r="O32" s="539" t="s">
        <v>2327</v>
      </c>
      <c r="P32" s="539"/>
      <c r="Q32" s="539"/>
      <c r="R32" s="539"/>
      <c r="S32" s="305">
        <f>IF($AR$21,IF(V21&lt;&gt;0,V21,IF(W21&lt;&gt;0,W21,IF(X21&lt;&gt;0,X21,IF(Y21&lt;&gt;0,Y21,IF(Z21&lt;&gt;0,Z21,0))))),0)</f>
        <v>0</v>
      </c>
      <c r="T32" s="305">
        <f>IF(T31=0,0,IF(T31=U$21,S32,IF(T31=V$21,S33,IF(T31=W$21,S34,IF(T31=X$21,S35,IF(T31=Y$21,S36,IF(T31=Z$21,0,0)))))))</f>
        <v>0</v>
      </c>
      <c r="U32" s="305"/>
      <c r="V32" s="304">
        <f t="shared" si="22"/>
        <v>0</v>
      </c>
      <c r="W32" s="304">
        <f t="shared" ref="W32:W71" si="46">IF(ISNA(VLOOKUP(V32,V33:V73,1,FALSE)),V32,0)</f>
        <v>0</v>
      </c>
      <c r="X32" s="304">
        <f t="shared" si="23"/>
        <v>0</v>
      </c>
      <c r="AA32" s="305">
        <f>IF($AR$21,IF(AD21&lt;&gt;0,AD21,IF(AE21&lt;&gt;0,AE21,IF(AF21&lt;&gt;0,AF21,IF(AG21&lt;&gt;0,AG21,IF(AH21&lt;&gt;0,AH21,0))))),0)</f>
        <v>0</v>
      </c>
      <c r="AB32" s="305">
        <f>IF(AB31=0,0,IF(AB31=AC$21,AA32,IF(AB31=AD$21,AA33,IF(AB31=AE$21,AA34,IF(AB31=AF$21,AA35,IF(AB31=AG$21,AA36,IF(AB31=AH$21,0,0)))))))</f>
        <v>0</v>
      </c>
      <c r="AC32" s="305"/>
      <c r="AD32" s="304">
        <f t="shared" si="24"/>
        <v>0</v>
      </c>
      <c r="AE32" s="304">
        <f t="shared" ref="AE32:AE71" si="47">IF(ISNA(VLOOKUP(AD32,AD33:AD73,1,FALSE)),AD32,0)</f>
        <v>0</v>
      </c>
      <c r="AF32" s="304">
        <f t="shared" si="25"/>
        <v>0</v>
      </c>
      <c r="AI32" s="305">
        <f>IF($AR$21,IF(AL21&lt;&gt;0,AL21,IF(AM21&lt;&gt;0,AM21,IF(AN21&lt;&gt;0,AN21,IF(AO21&lt;&gt;0,AO21,IF(AP21&lt;&gt;0,AP21,0))))),0)</f>
        <v>0</v>
      </c>
      <c r="AJ32" s="305">
        <f>IF(AJ31=0,0,IF(AJ31=AK$21,AI32,IF(AJ31=AL$21,AI33,IF(AJ31=AM$21,AI34,IF(AJ31=AN$21,AI35,IF(AJ31=AO$21,AI36,IF(AJ31=AP$21,0,0)))))))</f>
        <v>0</v>
      </c>
      <c r="AK32" s="305"/>
      <c r="AL32" s="304">
        <f t="shared" si="26"/>
        <v>0</v>
      </c>
      <c r="AM32" s="304">
        <f t="shared" ref="AM32:AM71" si="48">IF(ISNA(VLOOKUP(AL32,AL33:AL73,1,FALSE)),AL32,0)</f>
        <v>0</v>
      </c>
      <c r="AN32" s="304">
        <f t="shared" si="27"/>
        <v>0</v>
      </c>
      <c r="AP32" s="304">
        <f t="shared" si="38"/>
        <v>0</v>
      </c>
      <c r="AQ32" s="304">
        <f t="shared" si="39"/>
        <v>0</v>
      </c>
      <c r="AR32" s="304">
        <f t="shared" si="28"/>
        <v>0</v>
      </c>
      <c r="AS32" s="304">
        <f t="shared" si="29"/>
        <v>0</v>
      </c>
      <c r="AU32" s="304" t="e">
        <f>VLOOKUP(AR32,'Priority rules'!$U$15:$V$32,2,FALSE)</f>
        <v>#N/A</v>
      </c>
      <c r="AV32" s="304" t="e">
        <f t="shared" si="40"/>
        <v>#N/A</v>
      </c>
      <c r="AW32" s="304" t="b">
        <f t="shared" si="41"/>
        <v>0</v>
      </c>
      <c r="AX32" s="304">
        <f t="shared" si="42"/>
        <v>0</v>
      </c>
      <c r="AY32" s="304">
        <f t="shared" si="30"/>
        <v>0</v>
      </c>
      <c r="AZ32" s="304">
        <f t="shared" si="31"/>
        <v>0</v>
      </c>
      <c r="BA32" s="304">
        <f>IF(BA31=AY32,AY33,AY32)</f>
        <v>0</v>
      </c>
      <c r="BB32" s="304">
        <f>IF(BB31=BA32,BA33,BA32)</f>
        <v>0</v>
      </c>
      <c r="BC32" s="304">
        <f t="shared" si="32"/>
        <v>0</v>
      </c>
      <c r="BD32" s="304">
        <f t="shared" si="43"/>
        <v>0</v>
      </c>
      <c r="BE32" s="304">
        <f t="shared" si="44"/>
        <v>0</v>
      </c>
      <c r="BF32" s="304">
        <f t="shared" si="45"/>
        <v>0</v>
      </c>
      <c r="BG32" s="304">
        <f t="shared" si="33"/>
        <v>0</v>
      </c>
      <c r="BH32" s="304">
        <f t="shared" si="34"/>
        <v>0</v>
      </c>
      <c r="BI32" s="304">
        <f t="shared" si="35"/>
        <v>0</v>
      </c>
      <c r="BJ32" s="304">
        <f>IF(OR(BD$156=3,BD$156=4,BD$156=5,BD$156=6,BD$156=7,BD$156=8),BG32,
IF(BD$156=0,IF(OR(BE$156=1,BE$156=2,BE$156=3,BE$156=4,BE$156=5,BE$156=6),BH32,0),
IF(BD$156=1,IF(OR(BE$156=1,BE$156=2,BE$156=3,BE$156=4,BE$156=5,BE$156=6),BH31,0),
IF(BD$156=2,IF(OR(BE$156=1,BE$156=2,BE$156=3,BE$156=4,BE$156=5,BE$156=6),BH30,0),
0))))</f>
        <v>0</v>
      </c>
      <c r="BK32" s="304">
        <f>IF(BJ32&lt;&gt;0,BJ32,IF(BK31=BI31,BI32,IF(BK31=BI30,BI31,BI30)))</f>
        <v>0</v>
      </c>
      <c r="BL32" s="304">
        <f t="shared" si="36"/>
        <v>0</v>
      </c>
      <c r="BM32" s="304">
        <f t="shared" si="37"/>
        <v>0</v>
      </c>
    </row>
    <row r="33" spans="1:65" ht="45" x14ac:dyDescent="0.25">
      <c r="A33" s="326"/>
      <c r="B33" s="327">
        <f>Waste!C3</f>
        <v>0</v>
      </c>
      <c r="C33" s="328" t="str">
        <f>Waste!D3</f>
        <v/>
      </c>
      <c r="D33" s="328"/>
      <c r="E33" s="328"/>
      <c r="F33" s="328"/>
      <c r="G33" s="328"/>
      <c r="H33" s="328"/>
      <c r="I33" s="328"/>
      <c r="J33" s="328"/>
      <c r="K33" s="328"/>
      <c r="L33" s="329"/>
      <c r="M33" s="545" t="str">
        <f>Waste!C1</f>
        <v>Non Dangerous Waste</v>
      </c>
      <c r="N33" s="330">
        <f>Waste!F3</f>
        <v>0</v>
      </c>
      <c r="O33" s="540">
        <f>Waste!G3</f>
        <v>0</v>
      </c>
      <c r="P33" s="540"/>
      <c r="Q33" s="540"/>
      <c r="R33" s="541"/>
      <c r="S33" s="305">
        <f>IF($AR$21,IF(W21&lt;&gt;0,W21,IF(X21&lt;&gt;0,X21,IF(Y21&lt;&gt;0,Y21,IF(Z21&lt;&gt;0,Z21,0)))),0)</f>
        <v>0</v>
      </c>
      <c r="T33" s="305">
        <f>IF(T32=0,0,IF(T32=V$21,S33,IF(T32=W$21,S34,IF(T32=X$21,S35,IF(T32=Y$21,S36,IF(T32=Z$21,0,0))))))</f>
        <v>0</v>
      </c>
      <c r="U33" s="305"/>
      <c r="V33" s="304">
        <f t="shared" si="22"/>
        <v>0</v>
      </c>
      <c r="W33" s="304">
        <f t="shared" si="46"/>
        <v>0</v>
      </c>
      <c r="X33" s="304">
        <f t="shared" si="23"/>
        <v>0</v>
      </c>
      <c r="AA33" s="305">
        <f>IF($AR$21,IF(AE21&lt;&gt;0,AE21,IF(AF21&lt;&gt;0,AF21,IF(AG21&lt;&gt;0,AG21,IF(AH21&lt;&gt;0,AH21,0)))),0)</f>
        <v>0</v>
      </c>
      <c r="AB33" s="305">
        <f>IF(AB32=0,0,IF(AB32=AD$21,AA33,IF(AB32=AE$21,AA34,IF(AB32=AF$21,AA35,IF(AB32=AG$21,AA36,IF(AB32=AH$21,0,0))))))</f>
        <v>0</v>
      </c>
      <c r="AC33" s="305"/>
      <c r="AD33" s="304">
        <f t="shared" si="24"/>
        <v>0</v>
      </c>
      <c r="AE33" s="304">
        <f t="shared" si="47"/>
        <v>0</v>
      </c>
      <c r="AF33" s="304">
        <f t="shared" si="25"/>
        <v>0</v>
      </c>
      <c r="AI33" s="305">
        <f>IF($AR$21,IF(AM21&lt;&gt;0,AM21,IF(AN21&lt;&gt;0,AN21,IF(AO21&lt;&gt;0,AO21,IF(AP21&lt;&gt;0,AP21,0)))),0)</f>
        <v>0</v>
      </c>
      <c r="AJ33" s="305">
        <f>IF(AJ32=0,0,IF(AJ32=AL$21,AI33,IF(AJ32=AM$21,AI34,IF(AJ32=AN$21,AI35,IF(AJ32=AO$21,AI36,IF(AJ32=AP$21,0,0))))))</f>
        <v>0</v>
      </c>
      <c r="AK33" s="305"/>
      <c r="AL33" s="304">
        <f t="shared" si="26"/>
        <v>0</v>
      </c>
      <c r="AM33" s="304">
        <f t="shared" si="48"/>
        <v>0</v>
      </c>
      <c r="AN33" s="304">
        <f t="shared" si="27"/>
        <v>0</v>
      </c>
      <c r="AP33" s="304">
        <f t="shared" si="38"/>
        <v>0</v>
      </c>
      <c r="AQ33" s="304">
        <f t="shared" si="39"/>
        <v>0</v>
      </c>
      <c r="AR33" s="304">
        <f t="shared" si="28"/>
        <v>0</v>
      </c>
      <c r="AS33" s="304">
        <f t="shared" si="29"/>
        <v>0</v>
      </c>
      <c r="AU33" s="304" t="e">
        <f>VLOOKUP(AR33,'Priority rules'!$U$15:$V$32,2,FALSE)</f>
        <v>#N/A</v>
      </c>
      <c r="AV33" s="304" t="e">
        <f t="shared" si="40"/>
        <v>#N/A</v>
      </c>
      <c r="AW33" s="304" t="b">
        <f t="shared" si="41"/>
        <v>0</v>
      </c>
      <c r="AX33" s="304">
        <f t="shared" si="42"/>
        <v>0</v>
      </c>
      <c r="AY33" s="304">
        <f t="shared" si="30"/>
        <v>0</v>
      </c>
      <c r="AZ33" s="304">
        <f t="shared" si="31"/>
        <v>0</v>
      </c>
      <c r="BA33" s="304">
        <f>IF(BA32=AY33,AY34,AY33)</f>
        <v>0</v>
      </c>
      <c r="BB33" s="304">
        <f t="shared" ref="BB33:BB38" si="49">IF(BB32=BA33,BA34,BA33)</f>
        <v>0</v>
      </c>
      <c r="BC33" s="304">
        <f t="shared" si="32"/>
        <v>0</v>
      </c>
      <c r="BD33" s="304">
        <f t="shared" si="43"/>
        <v>0</v>
      </c>
      <c r="BE33" s="304">
        <f t="shared" si="44"/>
        <v>0</v>
      </c>
      <c r="BF33" s="304">
        <f t="shared" si="45"/>
        <v>0</v>
      </c>
      <c r="BG33" s="304">
        <f t="shared" si="33"/>
        <v>0</v>
      </c>
      <c r="BH33" s="304">
        <f t="shared" si="34"/>
        <v>0</v>
      </c>
      <c r="BI33" s="304">
        <f t="shared" si="35"/>
        <v>0</v>
      </c>
      <c r="BJ33" s="304">
        <f>IF(OR(BD$156=4,BD$156=5,BD$156=6,BD$156=7,BD$156=8),BG33,
IF(BD$156=0,IF(OR(BE$156=1,BE$156=2,BE$156=3,BE$156=4,BE$156=5,BE$156=6),BH33,0),
IF(BD$156=1,IF(OR(BE$156=1,BE$156=2,BE$156=3,BE$156=4,BE$156=5,BE$156=6),BH32,0),
IF(BD$156=2,IF(OR(BE$156=1,BE$156=2,BE$156=3,BE$156=4,BE$156=5,BE$156=6),BH31,0),
IF(BD$156=3,IF(OR(BE$156=1,BE$156=2,BE$156=3,BE$156=4,BE$156=5,BE$156=6),BH30,0),
0)))))</f>
        <v>0</v>
      </c>
      <c r="BK33" s="304">
        <f>IF(BJ33&lt;&gt;0,BJ33,
IF(BK32=BI32,BI33,
IF(BK32=BI31,BI32,
IF(BK32=BI30,BI31,
BI30))))</f>
        <v>0</v>
      </c>
      <c r="BL33" s="304">
        <f t="shared" si="36"/>
        <v>0</v>
      </c>
      <c r="BM33" s="304">
        <f t="shared" si="37"/>
        <v>0</v>
      </c>
    </row>
    <row r="34" spans="1:65" x14ac:dyDescent="0.25">
      <c r="A34" s="62"/>
      <c r="B34" s="308">
        <f>Waste!C4</f>
        <v>0</v>
      </c>
      <c r="C34" s="309" t="str">
        <f>Waste!D4</f>
        <v/>
      </c>
      <c r="D34" s="309"/>
      <c r="E34" s="309"/>
      <c r="F34" s="309"/>
      <c r="G34" s="309"/>
      <c r="H34" s="309"/>
      <c r="I34" s="309"/>
      <c r="J34" s="309"/>
      <c r="K34" s="309"/>
      <c r="L34" s="310"/>
      <c r="M34" s="546"/>
      <c r="N34" s="307">
        <f>Waste!F4</f>
        <v>0</v>
      </c>
      <c r="O34" s="505">
        <f>Waste!G4</f>
        <v>0</v>
      </c>
      <c r="P34" s="505"/>
      <c r="Q34" s="505"/>
      <c r="R34" s="506"/>
      <c r="S34" s="305">
        <f>IF($AR$21,IF(X21&lt;&gt;0,X21,IF(Y21&lt;&gt;0,Y21,IF(Z21&lt;&gt;0,Z21,0))),0)</f>
        <v>0</v>
      </c>
      <c r="T34" s="305">
        <f>IF(T33=0,0,IF(T33=W$21,S34,IF(T33=X$21,S35,IF(T33=Y$21,S36,IF(T33=Z$21,0,0)))))</f>
        <v>0</v>
      </c>
      <c r="U34" s="305"/>
      <c r="V34" s="304">
        <f t="shared" si="22"/>
        <v>0</v>
      </c>
      <c r="W34" s="304">
        <f t="shared" si="46"/>
        <v>0</v>
      </c>
      <c r="X34" s="304">
        <f t="shared" si="23"/>
        <v>0</v>
      </c>
      <c r="AA34" s="305">
        <f>IF($AR$21,IF(AF21&lt;&gt;0,AF21,IF(AG21&lt;&gt;0,AG21,IF(AH21&lt;&gt;0,AH21,0))),0)</f>
        <v>0</v>
      </c>
      <c r="AB34" s="305">
        <f>IF(AB33=0,0,IF(AB33=AE$21,AA34,IF(AB33=AF$21,AA35,IF(AB33=AG$21,AA36,IF(AB33=AH$21,0,0)))))</f>
        <v>0</v>
      </c>
      <c r="AC34" s="305"/>
      <c r="AD34" s="304">
        <f t="shared" si="24"/>
        <v>0</v>
      </c>
      <c r="AE34" s="304">
        <f t="shared" si="47"/>
        <v>0</v>
      </c>
      <c r="AF34" s="304">
        <f t="shared" si="25"/>
        <v>0</v>
      </c>
      <c r="AI34" s="305">
        <f>IF($AR$21,IF(AN21&lt;&gt;0,AN21,IF(AO21&lt;&gt;0,AO21,IF(AP21&lt;&gt;0,AP21,0))),0)</f>
        <v>0</v>
      </c>
      <c r="AJ34" s="305">
        <f>IF(AJ33=0,0,IF(AJ33=AM$21,AI34,IF(AJ33=AN$21,AI35,IF(AJ33=AO$21,AI36,IF(AJ33=AP$21,0,0)))))</f>
        <v>0</v>
      </c>
      <c r="AK34" s="305"/>
      <c r="AL34" s="304">
        <f t="shared" si="26"/>
        <v>0</v>
      </c>
      <c r="AM34" s="304">
        <f t="shared" si="48"/>
        <v>0</v>
      </c>
      <c r="AN34" s="304">
        <f t="shared" si="27"/>
        <v>0</v>
      </c>
      <c r="AP34" s="304">
        <f t="shared" si="38"/>
        <v>0</v>
      </c>
      <c r="AQ34" s="304">
        <f t="shared" si="39"/>
        <v>0</v>
      </c>
      <c r="AR34" s="304">
        <f t="shared" si="28"/>
        <v>0</v>
      </c>
      <c r="AS34" s="304">
        <f t="shared" si="29"/>
        <v>0</v>
      </c>
      <c r="AU34" s="304" t="e">
        <f>VLOOKUP(AR34,'Priority rules'!$U$15:$V$32,2,FALSE)</f>
        <v>#N/A</v>
      </c>
      <c r="AV34" s="304" t="e">
        <f t="shared" si="40"/>
        <v>#N/A</v>
      </c>
      <c r="AW34" s="304" t="b">
        <f t="shared" si="41"/>
        <v>0</v>
      </c>
      <c r="AX34" s="304">
        <f t="shared" si="42"/>
        <v>0</v>
      </c>
      <c r="AY34" s="304">
        <f t="shared" si="30"/>
        <v>0</v>
      </c>
      <c r="AZ34" s="304">
        <f t="shared" si="31"/>
        <v>0</v>
      </c>
      <c r="BA34" s="304">
        <f>IF(BA33=AY34,AY35,AY34)</f>
        <v>0</v>
      </c>
      <c r="BB34" s="304">
        <f>IF(BB33=BA34,BA35,BA34)</f>
        <v>0</v>
      </c>
      <c r="BC34" s="304">
        <f t="shared" si="32"/>
        <v>0</v>
      </c>
      <c r="BD34" s="304">
        <f t="shared" si="43"/>
        <v>0</v>
      </c>
      <c r="BE34" s="304">
        <f t="shared" si="44"/>
        <v>0</v>
      </c>
      <c r="BF34" s="304">
        <f t="shared" si="45"/>
        <v>0</v>
      </c>
      <c r="BG34" s="304">
        <f t="shared" si="33"/>
        <v>0</v>
      </c>
      <c r="BH34" s="304">
        <f t="shared" si="34"/>
        <v>0</v>
      </c>
      <c r="BI34" s="304">
        <f t="shared" si="35"/>
        <v>0</v>
      </c>
      <c r="BJ34" s="304">
        <f>IF(OR(BD$156=5,BD$156=6,BD$156=7,BD$156=8),BG34,
IF(BD$156=0,IF(OR(BE$156=1,BE$156=2,BE$156=3,BE$156=4,BE$156=5,BE$156=6),BH34,0),
IF(BD$156=1,IF(OR(BE$156=1,BE$156=2,BE$156=3,BE$156=4,BE$156=5,BE$156=6),BH33,0),
IF(BD$156=2,IF(OR(BE$156=1,BE$156=2,BE$156=3,BE$156=4,BE$156=5,BE$156=6),BH32,0),
IF(BD$156=3,IF(OR(BE$156=1,BE$156=2,BE$156=3,BE$156=4,BE$156=5,BE$156=6),BH31,0),
IF(BD$156=4,IF(OR(BE$156=1,BE$156=2,BE$156=3,BE$156=4,BE$156=5,BE$156=6),BH30,0),
0))))))</f>
        <v>0</v>
      </c>
      <c r="BK34" s="304">
        <f>IF(BJ34&lt;&gt;0,BJ34,
IF(BK33=BI33,BI34,
IF(BK33=BI32,BI33,
IF(BK33=BI31,BI32,
IF(BK33=BI30,BI31,
BI30)))))</f>
        <v>0</v>
      </c>
      <c r="BL34" s="304">
        <f t="shared" si="36"/>
        <v>0</v>
      </c>
      <c r="BM34" s="304">
        <f t="shared" si="37"/>
        <v>0</v>
      </c>
    </row>
    <row r="35" spans="1:65" x14ac:dyDescent="0.25">
      <c r="A35" s="62"/>
      <c r="B35" s="308">
        <f>Waste!C5</f>
        <v>0</v>
      </c>
      <c r="C35" s="309" t="str">
        <f>Waste!D5</f>
        <v/>
      </c>
      <c r="D35" s="309"/>
      <c r="E35" s="309"/>
      <c r="F35" s="309"/>
      <c r="G35" s="309"/>
      <c r="H35" s="309"/>
      <c r="I35" s="309"/>
      <c r="J35" s="309"/>
      <c r="K35" s="309"/>
      <c r="L35" s="310"/>
      <c r="M35" s="546"/>
      <c r="N35" s="307">
        <f>Waste!F5</f>
        <v>0</v>
      </c>
      <c r="O35" s="547">
        <f>Waste!G5</f>
        <v>0</v>
      </c>
      <c r="P35" s="548"/>
      <c r="Q35" s="548"/>
      <c r="R35" s="549"/>
      <c r="S35" s="305">
        <f>IF($AR$21,IF(Y21&lt;&gt;0,Y21,IF(Z21&lt;&gt;0,Z21,0)),0)</f>
        <v>0</v>
      </c>
      <c r="T35" s="305">
        <f>IF(T34=0,0,IF(T34=X$21,S35,IF(T34=Y$21,S36,IF(T34=Z$21,0,0))))</f>
        <v>0</v>
      </c>
      <c r="U35" s="305"/>
      <c r="V35" s="304">
        <f t="shared" si="22"/>
        <v>0</v>
      </c>
      <c r="W35" s="304">
        <f t="shared" si="46"/>
        <v>0</v>
      </c>
      <c r="X35" s="304">
        <f t="shared" si="23"/>
        <v>0</v>
      </c>
      <c r="AA35" s="305">
        <f>IF($AR$21,IF(AG21&lt;&gt;0,AG21,IF(AH21&lt;&gt;0,AH21,0)),0)</f>
        <v>0</v>
      </c>
      <c r="AB35" s="305">
        <f>IF(AB34=0,0,IF(AB34=AF$21,AA35,IF(AB34=AG$21,AA36,IF(AB34=AH$21,0,0))))</f>
        <v>0</v>
      </c>
      <c r="AC35" s="305"/>
      <c r="AD35" s="304">
        <f t="shared" si="24"/>
        <v>0</v>
      </c>
      <c r="AE35" s="304">
        <f t="shared" si="47"/>
        <v>0</v>
      </c>
      <c r="AF35" s="304">
        <f t="shared" si="25"/>
        <v>0</v>
      </c>
      <c r="AI35" s="305">
        <f>IF($AR$21,IF(AO21&lt;&gt;0,AO21,IF(AP21&lt;&gt;0,AP21,0)),0)</f>
        <v>0</v>
      </c>
      <c r="AJ35" s="305">
        <f>IF(AJ34=0,0,IF(AJ34=AN$21,AI35,IF(AJ34=AO$21,AI36,IF(AJ34=AP$21,0,0))))</f>
        <v>0</v>
      </c>
      <c r="AK35" s="305"/>
      <c r="AL35" s="304">
        <f t="shared" si="26"/>
        <v>0</v>
      </c>
      <c r="AM35" s="304">
        <f t="shared" si="48"/>
        <v>0</v>
      </c>
      <c r="AN35" s="304">
        <f t="shared" si="27"/>
        <v>0</v>
      </c>
      <c r="AP35" s="304">
        <f t="shared" si="38"/>
        <v>0</v>
      </c>
      <c r="AQ35" s="304">
        <f t="shared" si="39"/>
        <v>0</v>
      </c>
      <c r="AR35" s="304">
        <f t="shared" si="28"/>
        <v>0</v>
      </c>
      <c r="AS35" s="304">
        <f t="shared" si="29"/>
        <v>0</v>
      </c>
      <c r="AU35" s="304" t="e">
        <f>VLOOKUP(AR35,'Priority rules'!$U$15:$V$32,2,FALSE)</f>
        <v>#N/A</v>
      </c>
      <c r="AV35" s="304" t="e">
        <f t="shared" si="40"/>
        <v>#N/A</v>
      </c>
      <c r="AW35" s="304" t="b">
        <f t="shared" si="41"/>
        <v>0</v>
      </c>
      <c r="AX35" s="304">
        <f t="shared" si="42"/>
        <v>0</v>
      </c>
      <c r="AY35" s="304">
        <f t="shared" si="30"/>
        <v>0</v>
      </c>
      <c r="AZ35" s="304">
        <f t="shared" si="31"/>
        <v>0</v>
      </c>
      <c r="BA35" s="304">
        <f>IF(BA34=AY35,AY36,AY35)</f>
        <v>0</v>
      </c>
      <c r="BB35" s="304">
        <f t="shared" si="49"/>
        <v>0</v>
      </c>
      <c r="BC35" s="304">
        <f t="shared" si="32"/>
        <v>0</v>
      </c>
      <c r="BD35" s="304">
        <f t="shared" si="43"/>
        <v>0</v>
      </c>
      <c r="BE35" s="304">
        <f t="shared" si="44"/>
        <v>0</v>
      </c>
      <c r="BF35" s="304">
        <f t="shared" si="45"/>
        <v>0</v>
      </c>
      <c r="BG35" s="304">
        <f t="shared" si="33"/>
        <v>0</v>
      </c>
      <c r="BH35" s="304">
        <f t="shared" si="34"/>
        <v>0</v>
      </c>
      <c r="BI35" s="304">
        <f t="shared" si="35"/>
        <v>0</v>
      </c>
      <c r="BJ35" s="304">
        <f>IF(OR(BD$156=6,BD$156=7,BD$156=8),BG35,
IF(BD$156=0,IF(OR(BE$156=1,BE$156=2,BE$156=3,BE$156=4,BE$156=5,BE$156=6),BH35,0),
IF(BD$156=1,IF(OR(BE$156=1,BE$156=2,BE$156=3,BE$156=4,BE$156=5,BE$156=6),BH34,0),
IF(BD$156=2,IF(OR(BE$156=1,BE$156=2,BE$156=3,BE$156=4,BE$156=5,BE$156=6),BH33,0),
IF(BD$156=3,IF(OR(BE$156=1,BE$156=2,BE$156=3,BE$156=4,BE$156=5,BE$156=6),BH32,0),
IF(BD$156=4,IF(OR(BE$156=1,BE$156=2,BE$156=3,BE$156=4,BE$156=5,BE$156=6),BH31,0),
IF(BD$156=5,IF(OR(BE$156=1,BE$156=2,BE$156=3,BE$156=4,BE$156=5,BE$156=6),BH30,0),
0)))))))</f>
        <v>0</v>
      </c>
      <c r="BK35" s="304">
        <f>IF(BJ35&lt;&gt;0,BJ35,
IF(BK34=BI34,BI35,
IF(BK34=BI33,BI34,
IF(BK34=BI32,BI33,
IF(BK34=BI31,BI32,
IF(BK34=BI30,BI31,
BI30))))))</f>
        <v>0</v>
      </c>
      <c r="BL35" s="304">
        <f t="shared" si="36"/>
        <v>0</v>
      </c>
      <c r="BM35" s="304">
        <f t="shared" si="37"/>
        <v>0</v>
      </c>
    </row>
    <row r="36" spans="1:65" x14ac:dyDescent="0.25">
      <c r="A36" s="62"/>
      <c r="B36" s="308">
        <f>Waste!C6</f>
        <v>0</v>
      </c>
      <c r="C36" s="309" t="str">
        <f>Waste!D6</f>
        <v/>
      </c>
      <c r="D36" s="309"/>
      <c r="E36" s="309"/>
      <c r="F36" s="309"/>
      <c r="G36" s="309"/>
      <c r="H36" s="309"/>
      <c r="I36" s="309"/>
      <c r="J36" s="309"/>
      <c r="K36" s="309"/>
      <c r="L36" s="310"/>
      <c r="M36" s="546"/>
      <c r="N36" s="307">
        <f>Waste!F6</f>
        <v>0</v>
      </c>
      <c r="O36" s="505">
        <f>Waste!G6</f>
        <v>0</v>
      </c>
      <c r="P36" s="505"/>
      <c r="Q36" s="505"/>
      <c r="R36" s="506"/>
      <c r="S36" s="304">
        <f>IF($AR$21,IF(Z21&lt;&gt;0,Z21,0),0)</f>
        <v>0</v>
      </c>
      <c r="T36" s="305">
        <f>IF(T35=0,0,IF(T35=Y$21,S36,IF(T35=Z$21,0,0)))</f>
        <v>0</v>
      </c>
      <c r="U36" s="305"/>
      <c r="V36" s="304">
        <f t="shared" si="22"/>
        <v>0</v>
      </c>
      <c r="W36" s="304">
        <f t="shared" si="46"/>
        <v>0</v>
      </c>
      <c r="X36" s="304">
        <f t="shared" si="23"/>
        <v>0</v>
      </c>
      <c r="AA36" s="304">
        <f>IF($AR$21,IF(AH21&lt;&gt;0,AH21,0),0)</f>
        <v>0</v>
      </c>
      <c r="AB36" s="305">
        <f>IF(AB35=0,0,IF(AB35=AG$21,AA36,IF(AB35=AH$21,0,0)))</f>
        <v>0</v>
      </c>
      <c r="AC36" s="305"/>
      <c r="AD36" s="304">
        <f t="shared" si="24"/>
        <v>0</v>
      </c>
      <c r="AE36" s="304">
        <f t="shared" si="47"/>
        <v>0</v>
      </c>
      <c r="AF36" s="304">
        <f t="shared" si="25"/>
        <v>0</v>
      </c>
      <c r="AI36" s="304">
        <f>IF($AR$21,IF(AP21&lt;&gt;0,AP21,0),0)</f>
        <v>0</v>
      </c>
      <c r="AJ36" s="305">
        <f>IF(AJ35=0,0,IF(AJ35=AO$21,AI36,IF(AJ35=AP$21,0,0)))</f>
        <v>0</v>
      </c>
      <c r="AK36" s="305"/>
      <c r="AL36" s="304">
        <f t="shared" si="26"/>
        <v>0</v>
      </c>
      <c r="AM36" s="304">
        <f t="shared" si="48"/>
        <v>0</v>
      </c>
      <c r="AN36" s="304">
        <f t="shared" si="27"/>
        <v>0</v>
      </c>
      <c r="AP36" s="304">
        <f t="shared" si="38"/>
        <v>0</v>
      </c>
      <c r="AQ36" s="304">
        <f t="shared" si="39"/>
        <v>0</v>
      </c>
      <c r="AR36" s="304">
        <f t="shared" si="28"/>
        <v>0</v>
      </c>
      <c r="AS36" s="304">
        <f t="shared" si="29"/>
        <v>0</v>
      </c>
      <c r="AU36" s="304" t="e">
        <f>VLOOKUP(AR36,'Priority rules'!$U$15:$V$32,2,FALSE)</f>
        <v>#N/A</v>
      </c>
      <c r="AV36" s="304" t="e">
        <f t="shared" si="40"/>
        <v>#N/A</v>
      </c>
      <c r="AW36" s="304" t="b">
        <f t="shared" si="41"/>
        <v>0</v>
      </c>
      <c r="AX36" s="304">
        <f t="shared" si="42"/>
        <v>0</v>
      </c>
      <c r="AY36" s="304">
        <f t="shared" si="30"/>
        <v>0</v>
      </c>
      <c r="AZ36" s="304">
        <f t="shared" si="31"/>
        <v>0</v>
      </c>
      <c r="BA36" s="304">
        <f t="shared" ref="BA36:BA99" si="50">IF(BA35=AY36,AY37,AY36)</f>
        <v>0</v>
      </c>
      <c r="BB36" s="304">
        <f t="shared" si="49"/>
        <v>0</v>
      </c>
      <c r="BC36" s="304">
        <f t="shared" si="32"/>
        <v>0</v>
      </c>
      <c r="BD36" s="304">
        <f t="shared" si="43"/>
        <v>0</v>
      </c>
      <c r="BE36" s="304">
        <f t="shared" si="44"/>
        <v>0</v>
      </c>
      <c r="BF36" s="304">
        <f t="shared" si="45"/>
        <v>0</v>
      </c>
      <c r="BG36" s="304">
        <f t="shared" si="33"/>
        <v>0</v>
      </c>
      <c r="BH36" s="304">
        <f t="shared" si="34"/>
        <v>0</v>
      </c>
      <c r="BI36" s="304">
        <f t="shared" si="35"/>
        <v>0</v>
      </c>
      <c r="BJ36" s="304">
        <f>IF(OR(BD$156=7,BD$156=8),BG36,
IF(BD$156=0,IF(OR(BE$156=1,BE$156=2,BE$156=3,BE$156=4,BE$156=5,BE$156=6),BH36,0),
IF(BD$156=1,IF(OR(BE$156=1,BE$156=2,BE$156=3,BE$156=4,BE$156=5,BE$156=6),BH35,0),
IF(BD$156=2,IF(OR(BE$156=1,BE$156=2,BE$156=3,BE$156=4,BE$156=5,BE$156=6),BH34,0),
IF(BD$156=3,IF(OR(BE$156=1,BE$156=2,BE$156=3,BE$156=4,BE$156=5,BE$156=6),BH33,0),
IF(BD$156=4,IF(OR(BE$156=1,BE$156=2,BE$156=3,BE$156=4,BE$156=5,BE$156=6),BH32,0),
IF(BD$156=5,IF(OR(BE$156=1,BE$156=2,BE$156=3,BE$156=4,BE$156=5,BE$156=6),BH31,0),
IF(BD$156=6,IF(OR(BE$156=1,BE$156=2,BE$156=3,BE$156=4,BE$156=5,BE$156=6),BH30,0),
0))))))))</f>
        <v>0</v>
      </c>
      <c r="BK36" s="304">
        <f>IF(BJ36&lt;&gt;0,BJ36,
IF(BK35=BI35,BI36,
IF(BK35=BI34,BI35,
IF(BK35=BI33,BI34,
IF(BK35=BI32,BI33,
IF(BK35=BI31,BI32,
IF(BK35=BI30,BI31,
BI30)))))))</f>
        <v>0</v>
      </c>
      <c r="BL36" s="304">
        <f>IF((BD156+BE156)&gt;6,BK36,0)</f>
        <v>0</v>
      </c>
      <c r="BM36" s="304">
        <f t="shared" si="37"/>
        <v>0</v>
      </c>
    </row>
    <row r="37" spans="1:65" x14ac:dyDescent="0.25">
      <c r="A37" s="62"/>
      <c r="B37" s="308">
        <f>Waste!C7</f>
        <v>0</v>
      </c>
      <c r="C37" s="309" t="str">
        <f>Waste!D7</f>
        <v/>
      </c>
      <c r="D37" s="309"/>
      <c r="E37" s="309"/>
      <c r="F37" s="309"/>
      <c r="G37" s="309"/>
      <c r="H37" s="309"/>
      <c r="I37" s="309"/>
      <c r="J37" s="309"/>
      <c r="K37" s="309"/>
      <c r="L37" s="310"/>
      <c r="M37" s="546"/>
      <c r="N37" s="307">
        <f>Waste!F7</f>
        <v>0</v>
      </c>
      <c r="O37" s="505">
        <f>Waste!G7</f>
        <v>0</v>
      </c>
      <c r="P37" s="505"/>
      <c r="Q37" s="505"/>
      <c r="R37" s="506"/>
      <c r="S37" s="304">
        <f>IF($AR$21,IF(S24&lt;&gt;0,S24,IF(U24&lt;&gt;0,U24,IF(V24&lt;&gt;0,V24,IF(W24&lt;&gt;0,W24,IF(X24&lt;&gt;0,X24,IF(Y24&lt;&gt;0,Y24,IF(Z24&lt;&gt;0,Z24,0))))))),0)</f>
        <v>0</v>
      </c>
      <c r="T37" s="305">
        <f>S37</f>
        <v>0</v>
      </c>
      <c r="U37" s="305"/>
      <c r="V37" s="304">
        <f t="shared" si="22"/>
        <v>0</v>
      </c>
      <c r="W37" s="304">
        <f t="shared" si="46"/>
        <v>0</v>
      </c>
      <c r="X37" s="304">
        <f t="shared" si="23"/>
        <v>0</v>
      </c>
      <c r="AA37" s="304">
        <f>IF($AR$21,IF(AA24&lt;&gt;0,AA24,IF(AC24&lt;&gt;0,AC24,IF(AD24&lt;&gt;0,AD24,IF(AE24&lt;&gt;0,AE24,IF(AF24&lt;&gt;0,AF24,IF(AG24&lt;&gt;0,AG24,IF(AH24&lt;&gt;0,AH24,0))))))),0)</f>
        <v>0</v>
      </c>
      <c r="AB37" s="305">
        <f>AA37</f>
        <v>0</v>
      </c>
      <c r="AC37" s="305"/>
      <c r="AD37" s="304">
        <f t="shared" si="24"/>
        <v>0</v>
      </c>
      <c r="AE37" s="304">
        <f t="shared" si="47"/>
        <v>0</v>
      </c>
      <c r="AF37" s="304">
        <f t="shared" si="25"/>
        <v>0</v>
      </c>
      <c r="AI37" s="304">
        <f>IF($AR$21,IF(AI24&lt;&gt;0,AI24,IF(AK24&lt;&gt;0,AK24,IF(AL24&lt;&gt;0,AL24,IF(AM24&lt;&gt;0,AM24,IF(AN24&lt;&gt;0,AN24,IF(AO24&lt;&gt;0,AO24,IF(AP24&lt;&gt;0,AP24,0))))))),0)</f>
        <v>0</v>
      </c>
      <c r="AJ37" s="305">
        <f>AI37</f>
        <v>0</v>
      </c>
      <c r="AK37" s="305"/>
      <c r="AL37" s="304">
        <f t="shared" si="26"/>
        <v>0</v>
      </c>
      <c r="AM37" s="304">
        <f t="shared" si="48"/>
        <v>0</v>
      </c>
      <c r="AN37" s="304">
        <f t="shared" si="27"/>
        <v>0</v>
      </c>
      <c r="AP37" s="304">
        <f t="shared" si="38"/>
        <v>0</v>
      </c>
      <c r="AQ37" s="304">
        <f t="shared" si="39"/>
        <v>0</v>
      </c>
      <c r="AR37" s="304">
        <f t="shared" si="28"/>
        <v>0</v>
      </c>
      <c r="AS37" s="304">
        <f t="shared" si="29"/>
        <v>0</v>
      </c>
      <c r="AU37" s="304" t="e">
        <f>VLOOKUP(AR37,'Priority rules'!$U$15:$V$32,2,FALSE)</f>
        <v>#N/A</v>
      </c>
      <c r="AV37" s="304" t="e">
        <f t="shared" si="40"/>
        <v>#N/A</v>
      </c>
      <c r="AW37" s="304" t="b">
        <f t="shared" si="41"/>
        <v>0</v>
      </c>
      <c r="AX37" s="304">
        <f t="shared" si="42"/>
        <v>0</v>
      </c>
      <c r="AY37" s="304">
        <f t="shared" si="30"/>
        <v>0</v>
      </c>
      <c r="AZ37" s="304">
        <f t="shared" si="31"/>
        <v>0</v>
      </c>
      <c r="BA37" s="304">
        <f t="shared" si="50"/>
        <v>0</v>
      </c>
      <c r="BB37" s="304">
        <f>IF(BB36=BA37,BA38,BA37)</f>
        <v>0</v>
      </c>
      <c r="BC37" s="304">
        <f t="shared" si="32"/>
        <v>0</v>
      </c>
      <c r="BD37" s="304">
        <f t="shared" si="43"/>
        <v>0</v>
      </c>
      <c r="BE37" s="304">
        <f t="shared" si="44"/>
        <v>0</v>
      </c>
      <c r="BF37" s="304">
        <f t="shared" si="45"/>
        <v>0</v>
      </c>
      <c r="BG37" s="304">
        <f t="shared" si="33"/>
        <v>0</v>
      </c>
      <c r="BH37" s="304">
        <f t="shared" si="34"/>
        <v>0</v>
      </c>
      <c r="BI37" s="304">
        <f t="shared" si="35"/>
        <v>0</v>
      </c>
      <c r="BJ37" s="304">
        <f>IF(BD$156=8,BG37,
IF(BD$156=0,IF(OR(BE$156=1,BE$156=2,BE$156=3,BE$156=4,BE$156=5,BE$156=6),BH37,0),
IF(BD$156=1,IF(OR(BE$156=1,BE$156=2,BE$156=3,BE$156=4,BE$156=5,BE$156=6),BH36,0),
IF(BD$156=2,IF(OR(BE$156=1,BE$156=2,BE$156=3,BE$156=4,BE$156=5,BE$156=6),BH35,0),
IF(BD$156=3,IF(OR(BE$156=1,BE$156=2,BE$156=3,BE$156=4,BE$156=5,BE$156=6),BH34,0),
IF(BD$156=4,IF(OR(BE$156=1,BE$156=2,BE$156=3,BE$156=4,BE$156=5,BE$156=6),BH33,0),
IF(BD$156=5,IF(OR(BE$156=1,BE$156=2,BE$156=3,BE$156=4,BE$156=5,BE$156=6),BH32,0),
IF(BD$156=6,IF(OR(BE$156=1,BE$156=2,BE$156=3,BE$156=4,BE$156=5,BE$156=6),BH31,0),
IF(BD$156=7,IF(OR(BE$156=1,BE$156=2,BE$156=3,BE$156=4,BE$156=5,BE$156=6),BH30,0),
0)))))))))</f>
        <v>0</v>
      </c>
      <c r="BK37" s="304">
        <f>IF(BJ37&lt;&gt;0,BJ37,
IF(BK36=BI36,BI37,
IF(BK36=BI35,BI36,
IF(BK36=BI34,BI35,
IF(BK36=BI33,BI34,
IF(BK36=BI32,BI33,
IF(BK36=BI31,BI32,
IF(BK36=BI30,BI31,
BI30))))))))</f>
        <v>0</v>
      </c>
      <c r="BL37" s="304">
        <f t="shared" ref="BL37:BL43" si="51">IF((BD157+BE157)&gt;6,BK37,0)</f>
        <v>0</v>
      </c>
      <c r="BM37" s="304">
        <f t="shared" si="37"/>
        <v>0</v>
      </c>
    </row>
    <row r="38" spans="1:65" x14ac:dyDescent="0.25">
      <c r="A38" s="62"/>
      <c r="B38" s="308">
        <f>Waste!C8</f>
        <v>0</v>
      </c>
      <c r="C38" s="309" t="str">
        <f>Waste!D8</f>
        <v/>
      </c>
      <c r="D38" s="309"/>
      <c r="E38" s="309"/>
      <c r="F38" s="309"/>
      <c r="G38" s="309"/>
      <c r="H38" s="309"/>
      <c r="I38" s="309"/>
      <c r="J38" s="309"/>
      <c r="K38" s="309"/>
      <c r="L38" s="310"/>
      <c r="M38" s="546"/>
      <c r="N38" s="307">
        <f>Waste!F8</f>
        <v>0</v>
      </c>
      <c r="O38" s="505">
        <f>Waste!G8</f>
        <v>0</v>
      </c>
      <c r="P38" s="505"/>
      <c r="Q38" s="505"/>
      <c r="R38" s="506"/>
      <c r="S38" s="304">
        <f>IF($AR$21,IF(U24&lt;&gt;0,U24,IF(V24&lt;&gt;0,V24,IF(W24&lt;&gt;0,W24,IF(X24&lt;&gt;0,X24,IF(Y24&lt;&gt;0,Y24,IF(Z24&lt;&gt;0,Z24,0)))))),0)</f>
        <v>0</v>
      </c>
      <c r="T38" s="305">
        <f>IF(T37=0,0,IF(T37=S$24,S38,IF(T37=U$24,S39,IF(T37=V$24,S40,IF(T37=W$24,S41,IF(T37=X$24,S42,IF(T37=Y$24,S43,IF(T37=Z$24,0,0))))))))</f>
        <v>0</v>
      </c>
      <c r="U38" s="305"/>
      <c r="V38" s="304">
        <f t="shared" si="22"/>
        <v>0</v>
      </c>
      <c r="W38" s="304">
        <f t="shared" si="46"/>
        <v>0</v>
      </c>
      <c r="X38" s="304">
        <f t="shared" si="23"/>
        <v>0</v>
      </c>
      <c r="AA38" s="304">
        <f>IF($AR$21,IF(AC24&lt;&gt;0,AC24,IF(AD24&lt;&gt;0,AD24,IF(AE24&lt;&gt;0,AE24,IF(AF24&lt;&gt;0,AF24,IF(AG24&lt;&gt;0,AG24,IF(AH24&lt;&gt;0,AH24,0)))))),0)</f>
        <v>0</v>
      </c>
      <c r="AB38" s="305">
        <f>IF(AB37=0,0,IF(AB37=AA$24,AA38,IF(AB37=AC$24,AA39,IF(AB37=AD$24,AA40,IF(AB37=AE$24,AA41,IF(AB37=AF$24,AA42,IF(AB37=AG$24,AA43,IF(AB37=AH$24,0,0))))))))</f>
        <v>0</v>
      </c>
      <c r="AC38" s="305"/>
      <c r="AD38" s="304">
        <f t="shared" si="24"/>
        <v>0</v>
      </c>
      <c r="AE38" s="304">
        <f t="shared" si="47"/>
        <v>0</v>
      </c>
      <c r="AF38" s="304">
        <f t="shared" si="25"/>
        <v>0</v>
      </c>
      <c r="AI38" s="304">
        <f>IF($AR$21,IF(AK24&lt;&gt;0,AK24,IF(AL24&lt;&gt;0,AL24,IF(AM24&lt;&gt;0,AM24,IF(AN24&lt;&gt;0,AN24,IF(AO24&lt;&gt;0,AO24,IF(AP24&lt;&gt;0,AP24,0)))))),0)</f>
        <v>0</v>
      </c>
      <c r="AJ38" s="305">
        <f>IF(AJ37=0,0,IF(AJ37=AI$24,AI38,IF(AJ37=AK$24,AI39,IF(AJ37=AL$24,AI40,IF(AJ37=AM$24,AI41,IF(AJ37=AN$24,AI42,IF(AJ37=AO$24,AI43,IF(AJ37=AP$24,0,0))))))))</f>
        <v>0</v>
      </c>
      <c r="AK38" s="305"/>
      <c r="AL38" s="304">
        <f t="shared" si="26"/>
        <v>0</v>
      </c>
      <c r="AM38" s="304">
        <f t="shared" si="48"/>
        <v>0</v>
      </c>
      <c r="AN38" s="304">
        <f t="shared" si="27"/>
        <v>0</v>
      </c>
      <c r="AP38" s="304">
        <f t="shared" si="38"/>
        <v>0</v>
      </c>
      <c r="AQ38" s="304">
        <f t="shared" si="39"/>
        <v>0</v>
      </c>
      <c r="AR38" s="304">
        <f t="shared" si="28"/>
        <v>0</v>
      </c>
      <c r="AS38" s="304">
        <f t="shared" si="29"/>
        <v>0</v>
      </c>
      <c r="AU38" s="304" t="e">
        <f>VLOOKUP(AR38,'Priority rules'!$U$15:$V$32,2,FALSE)</f>
        <v>#N/A</v>
      </c>
      <c r="AV38" s="304" t="e">
        <f t="shared" si="40"/>
        <v>#N/A</v>
      </c>
      <c r="AW38" s="304" t="b">
        <f t="shared" si="41"/>
        <v>0</v>
      </c>
      <c r="AX38" s="304">
        <f t="shared" si="42"/>
        <v>0</v>
      </c>
      <c r="AY38" s="304">
        <f t="shared" si="30"/>
        <v>0</v>
      </c>
      <c r="AZ38" s="304">
        <f t="shared" si="31"/>
        <v>0</v>
      </c>
      <c r="BA38" s="304">
        <f t="shared" si="50"/>
        <v>0</v>
      </c>
      <c r="BB38" s="304">
        <f t="shared" si="49"/>
        <v>0</v>
      </c>
      <c r="BC38" s="304">
        <f t="shared" si="32"/>
        <v>0</v>
      </c>
      <c r="BD38" s="304">
        <f t="shared" si="43"/>
        <v>0</v>
      </c>
      <c r="BE38" s="304">
        <f t="shared" si="44"/>
        <v>0</v>
      </c>
      <c r="BF38" s="304">
        <f t="shared" si="45"/>
        <v>0</v>
      </c>
      <c r="BG38" s="304">
        <f t="shared" si="33"/>
        <v>0</v>
      </c>
      <c r="BH38" s="304">
        <f t="shared" si="34"/>
        <v>0</v>
      </c>
      <c r="BI38" s="304">
        <f t="shared" si="35"/>
        <v>0</v>
      </c>
      <c r="BJ38" s="304">
        <f t="shared" ref="BJ38:BJ43" si="52">IF(BD$156=8,BH30,0)</f>
        <v>0</v>
      </c>
      <c r="BK38" s="304">
        <f>IF(BJ38&lt;&gt;0,BJ38,
IF(BK37=BI37,BI38,
IF(BK37=BI36,BI37,
IF(BK37=BI35,BI36,
IF(BK37=BI34,BI35,
IF(BK37=BI33,BI34,
IF(BK37=BI32,BI33,
IF(BK37=BI31,BI32,
IF(BK37=BI30,BI31,
BI30)))))))))</f>
        <v>0</v>
      </c>
      <c r="BL38" s="304">
        <f t="shared" si="51"/>
        <v>0</v>
      </c>
      <c r="BM38" s="304">
        <f t="shared" si="37"/>
        <v>0</v>
      </c>
    </row>
    <row r="39" spans="1:65" x14ac:dyDescent="0.25">
      <c r="A39" s="502">
        <f>Waste!H3</f>
        <v>0</v>
      </c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4"/>
      <c r="S39" s="304">
        <f>IF($AR$21,IF(V24&lt;&gt;0,V24,IF(W24&lt;&gt;0,W24,IF(X24&lt;&gt;0,X24,IF(Y24&lt;&gt;0,Y24,IF(Z24&lt;&gt;0,Z24,0))))),0)</f>
        <v>0</v>
      </c>
      <c r="T39" s="305">
        <f>IF(T38=0,0,IF(T38=U$24,S39,IF(T38=V$24,S40,IF(T38=W$24,S41,IF(T38=X$24,S42,IF(T38=Y$24,S43,IF(T38=Z$24,0,0)))))))</f>
        <v>0</v>
      </c>
      <c r="U39" s="305"/>
      <c r="V39" s="304">
        <f t="shared" si="22"/>
        <v>0</v>
      </c>
      <c r="W39" s="304">
        <f t="shared" si="46"/>
        <v>0</v>
      </c>
      <c r="X39" s="304">
        <f t="shared" si="23"/>
        <v>0</v>
      </c>
      <c r="AA39" s="304">
        <f>IF($AR$21,IF(AD24&lt;&gt;0,AD24,IF(AE24&lt;&gt;0,AE24,IF(AF24&lt;&gt;0,AF24,IF(AG24&lt;&gt;0,AG24,IF(AH24&lt;&gt;0,AH24,0))))),0)</f>
        <v>0</v>
      </c>
      <c r="AB39" s="305">
        <f>IF(AB38=0,0,IF(AB38=AC$24,AA39,IF(AB38=AD$24,AA40,IF(AB38=AE$24,AA41,IF(AB38=AF$24,AA42,IF(AB38=AG$24,AA43,IF(AB38=AH$24,0,0)))))))</f>
        <v>0</v>
      </c>
      <c r="AC39" s="305"/>
      <c r="AD39" s="304">
        <f t="shared" si="24"/>
        <v>0</v>
      </c>
      <c r="AE39" s="304">
        <f t="shared" si="47"/>
        <v>0</v>
      </c>
      <c r="AF39" s="304">
        <f t="shared" si="25"/>
        <v>0</v>
      </c>
      <c r="AI39" s="304">
        <f>IF($AR$21,IF(AL24&lt;&gt;0,AL24,IF(AM24&lt;&gt;0,AM24,IF(AN24&lt;&gt;0,AN24,IF(AO24&lt;&gt;0,AO24,IF(AP24&lt;&gt;0,AP24,0))))),0)</f>
        <v>0</v>
      </c>
      <c r="AJ39" s="305">
        <f>IF(AJ38=0,0,IF(AJ38=AK$24,AI39,IF(AJ38=AL$24,AI40,IF(AJ38=AM$24,AI41,IF(AJ38=AN$24,AI42,IF(AJ38=AO$24,AI43,IF(AJ38=AP$24,0,0)))))))</f>
        <v>0</v>
      </c>
      <c r="AK39" s="305"/>
      <c r="AL39" s="304">
        <f t="shared" si="26"/>
        <v>0</v>
      </c>
      <c r="AM39" s="304">
        <f t="shared" si="48"/>
        <v>0</v>
      </c>
      <c r="AN39" s="304">
        <f t="shared" si="27"/>
        <v>0</v>
      </c>
      <c r="AP39" s="304">
        <f t="shared" si="38"/>
        <v>0</v>
      </c>
      <c r="AQ39" s="304">
        <f t="shared" si="39"/>
        <v>0</v>
      </c>
      <c r="AR39" s="304">
        <f t="shared" si="28"/>
        <v>0</v>
      </c>
      <c r="AS39" s="304">
        <f t="shared" si="29"/>
        <v>0</v>
      </c>
      <c r="AU39" s="304" t="e">
        <f>VLOOKUP(AR39,'Priority rules'!$U$15:$V$32,2,FALSE)</f>
        <v>#N/A</v>
      </c>
      <c r="AV39" s="304" t="e">
        <f t="shared" si="40"/>
        <v>#N/A</v>
      </c>
      <c r="AW39" s="304" t="b">
        <f t="shared" si="41"/>
        <v>0</v>
      </c>
      <c r="AX39" s="304">
        <f t="shared" si="42"/>
        <v>0</v>
      </c>
      <c r="AY39" s="304">
        <f t="shared" si="30"/>
        <v>0</v>
      </c>
      <c r="AZ39" s="304">
        <f t="shared" si="31"/>
        <v>0</v>
      </c>
      <c r="BA39" s="304">
        <f t="shared" si="50"/>
        <v>0</v>
      </c>
      <c r="BB39" s="304">
        <f>IF(BB38=BA39,BA40,BA39)</f>
        <v>0</v>
      </c>
      <c r="BC39" s="304">
        <f t="shared" si="32"/>
        <v>0</v>
      </c>
      <c r="BD39" s="304">
        <f t="shared" si="43"/>
        <v>0</v>
      </c>
      <c r="BE39" s="304">
        <f t="shared" si="44"/>
        <v>0</v>
      </c>
      <c r="BF39" s="304">
        <f t="shared" si="45"/>
        <v>0</v>
      </c>
      <c r="BG39" s="304">
        <f t="shared" si="33"/>
        <v>0</v>
      </c>
      <c r="BH39" s="304">
        <f t="shared" si="34"/>
        <v>0</v>
      </c>
      <c r="BI39" s="304">
        <f t="shared" si="35"/>
        <v>0</v>
      </c>
      <c r="BJ39" s="304">
        <f t="shared" si="52"/>
        <v>0</v>
      </c>
      <c r="BK39" s="304">
        <f>IF(BJ39&lt;&gt;0,BJ39,
IF(BK38=BI38,BI39,
IF(BK38=BI37,BI38,
IF(BK38=BI36,BI37,
IF(BK38=BI35,BI36,
IF(BK38=BI34,BI35,
IF(BK38=BI33,BI34,
IF(BK38=BI32,BI33,
IF(BK38=BI31,BI32,
IF(BK38=BI30,BI31,
BI30))))))))))</f>
        <v>0</v>
      </c>
      <c r="BL39" s="304">
        <f t="shared" si="51"/>
        <v>0</v>
      </c>
      <c r="BM39" s="304">
        <f t="shared" si="37"/>
        <v>0</v>
      </c>
    </row>
    <row r="40" spans="1:65" x14ac:dyDescent="0.25">
      <c r="A40" s="495">
        <f>Waste!H4</f>
        <v>0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7"/>
      <c r="S40" s="304">
        <f>IF($AR$21,IF(W24&lt;&gt;0,W24,IF(X24&lt;&gt;0,X24,IF(Y24&lt;&gt;0,Y24,IF(Z24&lt;&gt;0,Z24,0)))),0)</f>
        <v>0</v>
      </c>
      <c r="T40" s="305">
        <f>IF(T39=0,0,IF(T39=V$24,S40,IF(T39=W$24,S41,IF(T39=X$24,S42,IF(T39=Y$24,S43,IF(T39=Z$24,0,0))))))</f>
        <v>0</v>
      </c>
      <c r="U40" s="305"/>
      <c r="V40" s="304">
        <f t="shared" si="22"/>
        <v>0</v>
      </c>
      <c r="W40" s="304">
        <f t="shared" si="46"/>
        <v>0</v>
      </c>
      <c r="X40" s="304">
        <f t="shared" si="23"/>
        <v>0</v>
      </c>
      <c r="AA40" s="304">
        <f>IF($AR$21,IF(AE24&lt;&gt;0,AE24,IF(AF24&lt;&gt;0,AF24,IF(AG24&lt;&gt;0,AG24,IF(AH24&lt;&gt;0,AH24,0)))),0)</f>
        <v>0</v>
      </c>
      <c r="AB40" s="305">
        <f>IF(AB39=0,0,IF(AB39=AD$24,AA40,IF(AB39=AE$24,AA41,IF(AB39=AF$24,AA42,IF(AB39=AG$24,AA43,IF(AB39=AH$24,0,0))))))</f>
        <v>0</v>
      </c>
      <c r="AC40" s="305"/>
      <c r="AD40" s="304">
        <f t="shared" si="24"/>
        <v>0</v>
      </c>
      <c r="AE40" s="304">
        <f t="shared" si="47"/>
        <v>0</v>
      </c>
      <c r="AF40" s="304">
        <f t="shared" si="25"/>
        <v>0</v>
      </c>
      <c r="AI40" s="304">
        <f>IF($AR$21,IF(AM24&lt;&gt;0,AM24,IF(AN24&lt;&gt;0,AN24,IF(AO24&lt;&gt;0,AO24,IF(AP24&lt;&gt;0,AP24,0)))),0)</f>
        <v>0</v>
      </c>
      <c r="AJ40" s="305">
        <f>IF(AJ39=0,0,IF(AJ39=AL$24,AI40,IF(AJ39=AM$24,AI41,IF(AJ39=AN$24,AI42,IF(AJ39=AO$24,AI43,IF(AJ39=AP$24,0,0))))))</f>
        <v>0</v>
      </c>
      <c r="AK40" s="305"/>
      <c r="AL40" s="304">
        <f t="shared" si="26"/>
        <v>0</v>
      </c>
      <c r="AM40" s="304">
        <f t="shared" si="48"/>
        <v>0</v>
      </c>
      <c r="AN40" s="304">
        <f t="shared" si="27"/>
        <v>0</v>
      </c>
      <c r="AP40" s="304">
        <f t="shared" si="38"/>
        <v>0</v>
      </c>
      <c r="AQ40" s="304">
        <f t="shared" si="39"/>
        <v>0</v>
      </c>
      <c r="AR40" s="304">
        <f t="shared" si="28"/>
        <v>0</v>
      </c>
      <c r="AS40" s="304">
        <f t="shared" si="29"/>
        <v>0</v>
      </c>
      <c r="AU40" s="304" t="e">
        <f>VLOOKUP(AR40,'Priority rules'!$U$15:$V$32,2,FALSE)</f>
        <v>#N/A</v>
      </c>
      <c r="AV40" s="304" t="e">
        <f t="shared" si="40"/>
        <v>#N/A</v>
      </c>
      <c r="AW40" s="304" t="b">
        <f t="shared" si="41"/>
        <v>0</v>
      </c>
      <c r="AX40" s="304">
        <f t="shared" si="42"/>
        <v>0</v>
      </c>
      <c r="AY40" s="304">
        <f t="shared" si="30"/>
        <v>0</v>
      </c>
      <c r="AZ40" s="304">
        <f t="shared" si="31"/>
        <v>0</v>
      </c>
      <c r="BA40" s="304">
        <f t="shared" si="50"/>
        <v>0</v>
      </c>
      <c r="BB40" s="304">
        <f>IF(BB39=BA40,BA41,BA40)</f>
        <v>0</v>
      </c>
      <c r="BC40" s="304">
        <f t="shared" si="32"/>
        <v>0</v>
      </c>
      <c r="BD40" s="304">
        <f t="shared" si="43"/>
        <v>0</v>
      </c>
      <c r="BE40" s="304">
        <f t="shared" si="44"/>
        <v>0</v>
      </c>
      <c r="BF40" s="304">
        <f t="shared" si="45"/>
        <v>0</v>
      </c>
      <c r="BG40" s="304">
        <f t="shared" si="33"/>
        <v>0</v>
      </c>
      <c r="BH40" s="304">
        <f t="shared" si="34"/>
        <v>0</v>
      </c>
      <c r="BI40" s="304">
        <f t="shared" si="35"/>
        <v>0</v>
      </c>
      <c r="BJ40" s="304">
        <f t="shared" si="52"/>
        <v>0</v>
      </c>
      <c r="BK40" s="304">
        <f>IF(BJ40&lt;&gt;0,BJ40,
IF(BK39=BI39,BI40,
IF(BK39=BI38,BI39,
IF(BK39=BI37,BI38,
IF(BK39=BI36,BI37,
IF(BK39=BI35,BI36,
IF(BK39=BI34,BI35,
IF(BK39=BI33,BI34,
IF(BK39=BI32,BI33,
IF(BK39=BI31,BI32,
IF(BK39=BI30,BI31,
BI30)))))))))))</f>
        <v>0</v>
      </c>
      <c r="BL40" s="304">
        <f t="shared" si="51"/>
        <v>0</v>
      </c>
      <c r="BM40" s="304">
        <f t="shared" si="37"/>
        <v>0</v>
      </c>
    </row>
    <row r="41" spans="1:65" x14ac:dyDescent="0.25">
      <c r="A41" s="495">
        <f>Waste!H5</f>
        <v>0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7"/>
      <c r="S41" s="304">
        <f>IF($AR$21,IF(X24&lt;&gt;0,X24,IF(Y24&lt;&gt;0,Y24,IF(Z24&lt;&gt;0,Z24,0))),0)</f>
        <v>0</v>
      </c>
      <c r="T41" s="305">
        <f>IF(T40=0,0,IF(T40=W$24,S41,IF(T40=X$24,S42,IF(T40=Y$24,S43,IF(T40=Z$24,0,0)))))</f>
        <v>0</v>
      </c>
      <c r="U41" s="305"/>
      <c r="V41" s="304">
        <f t="shared" si="22"/>
        <v>0</v>
      </c>
      <c r="W41" s="304">
        <f t="shared" si="46"/>
        <v>0</v>
      </c>
      <c r="X41" s="304">
        <f t="shared" si="23"/>
        <v>0</v>
      </c>
      <c r="AA41" s="304">
        <f>IF($AR$21,IF(AF24&lt;&gt;0,AF24,IF(AG24&lt;&gt;0,AG24,IF(AH24&lt;&gt;0,AH24,0))),0)</f>
        <v>0</v>
      </c>
      <c r="AB41" s="305">
        <f>IF(AB40=0,0,IF(AB40=AE$24,AA41,IF(AB40=AF$24,AA42,IF(AB40=AG$24,AA43,IF(AB40=AH$24,0,0)))))</f>
        <v>0</v>
      </c>
      <c r="AC41" s="305"/>
      <c r="AD41" s="304">
        <f t="shared" si="24"/>
        <v>0</v>
      </c>
      <c r="AE41" s="304">
        <f t="shared" si="47"/>
        <v>0</v>
      </c>
      <c r="AF41" s="304">
        <f t="shared" si="25"/>
        <v>0</v>
      </c>
      <c r="AI41" s="304">
        <f>IF($AR$21,IF(AN24&lt;&gt;0,AN24,IF(AO24&lt;&gt;0,AO24,IF(AP24&lt;&gt;0,AP24,0))),0)</f>
        <v>0</v>
      </c>
      <c r="AJ41" s="305">
        <f>IF(AJ40=0,0,IF(AJ40=AM$24,AI41,IF(AJ40=AN$24,AI42,IF(AJ40=AO$24,AI43,IF(AJ40=AP$24,0,0)))))</f>
        <v>0</v>
      </c>
      <c r="AK41" s="305"/>
      <c r="AL41" s="304">
        <f t="shared" si="26"/>
        <v>0</v>
      </c>
      <c r="AM41" s="304">
        <f t="shared" si="48"/>
        <v>0</v>
      </c>
      <c r="AN41" s="304">
        <f t="shared" si="27"/>
        <v>0</v>
      </c>
      <c r="AP41" s="304">
        <f t="shared" si="38"/>
        <v>0</v>
      </c>
      <c r="AQ41" s="304">
        <f t="shared" si="39"/>
        <v>0</v>
      </c>
      <c r="AR41" s="304">
        <f t="shared" si="28"/>
        <v>0</v>
      </c>
      <c r="AS41" s="304">
        <f t="shared" si="29"/>
        <v>0</v>
      </c>
      <c r="AU41" s="304" t="e">
        <f>VLOOKUP(AR41,'Priority rules'!$U$15:$V$32,2,FALSE)</f>
        <v>#N/A</v>
      </c>
      <c r="AV41" s="304" t="e">
        <f t="shared" si="40"/>
        <v>#N/A</v>
      </c>
      <c r="AW41" s="304" t="b">
        <f t="shared" si="41"/>
        <v>0</v>
      </c>
      <c r="AX41" s="304">
        <f t="shared" si="42"/>
        <v>0</v>
      </c>
      <c r="AY41" s="304">
        <f t="shared" si="30"/>
        <v>0</v>
      </c>
      <c r="AZ41" s="304">
        <f t="shared" si="31"/>
        <v>0</v>
      </c>
      <c r="BA41" s="304">
        <f t="shared" si="50"/>
        <v>0</v>
      </c>
      <c r="BB41" s="304">
        <f>IF(BB40=BA41,BA42,BA41)</f>
        <v>0</v>
      </c>
      <c r="BC41" s="304">
        <f t="shared" si="32"/>
        <v>0</v>
      </c>
      <c r="BD41" s="304">
        <f t="shared" si="43"/>
        <v>0</v>
      </c>
      <c r="BE41" s="304">
        <f t="shared" si="44"/>
        <v>0</v>
      </c>
      <c r="BF41" s="304">
        <f t="shared" si="45"/>
        <v>0</v>
      </c>
      <c r="BG41" s="304">
        <f t="shared" si="33"/>
        <v>0</v>
      </c>
      <c r="BH41" s="304">
        <f t="shared" si="34"/>
        <v>0</v>
      </c>
      <c r="BI41" s="304">
        <f t="shared" si="35"/>
        <v>0</v>
      </c>
      <c r="BJ41" s="304">
        <f t="shared" si="52"/>
        <v>0</v>
      </c>
      <c r="BK41" s="304">
        <f>IF(BJ41&lt;&gt;0,BJ41,
IF(BK40=BI40,BI41,
IF(BK40=BI39,BI40,
IF(BK40=BI38,BI39,
IF(BK40=BI37,BI38,
IF(BK40=BI36,BI37,
IF(BK40=BI35,BI36,
IF(BK40=BI34,BI35,
IF(BK40=BI33,BI34,
IF(BK40=BI32,BI33,
IF(BK40=BI31,BI32,
IF(BK40=BI30,BI31,
BI30))))))))))))</f>
        <v>0</v>
      </c>
      <c r="BL41" s="304">
        <f t="shared" si="51"/>
        <v>0</v>
      </c>
      <c r="BM41" s="304">
        <f t="shared" si="37"/>
        <v>0</v>
      </c>
    </row>
    <row r="42" spans="1:65" x14ac:dyDescent="0.25">
      <c r="A42" s="495">
        <f>Waste!H6</f>
        <v>0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7"/>
      <c r="S42" s="304">
        <f>IF($AR$21,IF(Y24&lt;&gt;0,Y24,IF(Z24&lt;&gt;0,Z24,0)),0)</f>
        <v>0</v>
      </c>
      <c r="T42" s="305">
        <f>IF(T41=0,0,IF(T41=X$24,S42,IF(T41=Y$24,S43,IF(T41=Z$24,0,0))))</f>
        <v>0</v>
      </c>
      <c r="U42" s="305"/>
      <c r="V42" s="304">
        <f t="shared" si="22"/>
        <v>0</v>
      </c>
      <c r="W42" s="304">
        <f t="shared" si="46"/>
        <v>0</v>
      </c>
      <c r="X42" s="304">
        <f t="shared" si="23"/>
        <v>0</v>
      </c>
      <c r="AA42" s="304">
        <f>IF($AR$21,IF(AG24&lt;&gt;0,AG24,IF(AH24&lt;&gt;0,AH24,0)),0)</f>
        <v>0</v>
      </c>
      <c r="AB42" s="305">
        <f>IF(AB41=0,0,IF(AB41=AF$24,AA42,IF(AB41=AG$24,AA43,IF(AB41=AH$24,0,0))))</f>
        <v>0</v>
      </c>
      <c r="AC42" s="305"/>
      <c r="AD42" s="304">
        <f t="shared" si="24"/>
        <v>0</v>
      </c>
      <c r="AE42" s="304">
        <f t="shared" si="47"/>
        <v>0</v>
      </c>
      <c r="AF42" s="304">
        <f t="shared" si="25"/>
        <v>0</v>
      </c>
      <c r="AI42" s="304">
        <f>IF($AR$21,IF(AO24&lt;&gt;0,AO24,IF(AP24&lt;&gt;0,AP24,0)),0)</f>
        <v>0</v>
      </c>
      <c r="AJ42" s="305">
        <f>IF(AJ41=0,0,IF(AJ41=AN$24,AI42,IF(AJ41=AO$24,AI43,IF(AJ41=AP$24,0,0))))</f>
        <v>0</v>
      </c>
      <c r="AK42" s="305"/>
      <c r="AL42" s="304">
        <f t="shared" si="26"/>
        <v>0</v>
      </c>
      <c r="AM42" s="304">
        <f t="shared" si="48"/>
        <v>0</v>
      </c>
      <c r="AN42" s="304">
        <f t="shared" si="27"/>
        <v>0</v>
      </c>
      <c r="AP42" s="304">
        <f t="shared" si="38"/>
        <v>0</v>
      </c>
      <c r="AQ42" s="304">
        <f t="shared" si="39"/>
        <v>0</v>
      </c>
      <c r="AR42" s="304">
        <f t="shared" si="28"/>
        <v>0</v>
      </c>
      <c r="AS42" s="304">
        <f t="shared" si="29"/>
        <v>0</v>
      </c>
      <c r="AU42" s="304" t="e">
        <f>VLOOKUP(AR42,'Priority rules'!$U$15:$V$32,2,FALSE)</f>
        <v>#N/A</v>
      </c>
      <c r="AV42" s="304" t="e">
        <f t="shared" si="40"/>
        <v>#N/A</v>
      </c>
      <c r="AW42" s="304" t="b">
        <f t="shared" si="41"/>
        <v>0</v>
      </c>
      <c r="AX42" s="304">
        <f t="shared" si="42"/>
        <v>0</v>
      </c>
      <c r="AY42" s="304">
        <f t="shared" si="30"/>
        <v>0</v>
      </c>
      <c r="AZ42" s="304">
        <f t="shared" si="31"/>
        <v>0</v>
      </c>
      <c r="BA42" s="304">
        <f t="shared" si="50"/>
        <v>0</v>
      </c>
      <c r="BB42" s="304">
        <f>IF(BB41=BA42,BA43,BA42)</f>
        <v>0</v>
      </c>
      <c r="BC42" s="304">
        <f t="shared" si="32"/>
        <v>0</v>
      </c>
      <c r="BD42" s="304">
        <f t="shared" si="43"/>
        <v>0</v>
      </c>
      <c r="BE42" s="304">
        <f t="shared" si="44"/>
        <v>0</v>
      </c>
      <c r="BF42" s="304">
        <f t="shared" si="45"/>
        <v>0</v>
      </c>
      <c r="BG42" s="304">
        <f t="shared" si="33"/>
        <v>0</v>
      </c>
      <c r="BH42" s="304">
        <f t="shared" si="34"/>
        <v>0</v>
      </c>
      <c r="BI42" s="304">
        <f t="shared" si="35"/>
        <v>0</v>
      </c>
      <c r="BJ42" s="304">
        <f t="shared" si="52"/>
        <v>0</v>
      </c>
      <c r="BK42" s="304">
        <f>IF(BJ42&lt;&gt;0,BJ42,
IF(BK41=BI41,BI42,
IF(BK41=BI40,BI41,
IF(BK41=BI39,BI40,
IF(BK41=BI38,BI39,
IF(BK41=BI37,BI38,
IF(BK41=BI36,BI37,
IF(BK41=BI35,BI36,
IF(BK41=BI34,BI35,
IF(BK41=BI33,BI34,
IF(BK41=BI32,BI33,
IF(BK41=BI31,BI32,
IF(BK41=BI30,BI31,
BI30)))))))))))))</f>
        <v>0</v>
      </c>
      <c r="BL42" s="304">
        <f t="shared" si="51"/>
        <v>0</v>
      </c>
      <c r="BM42" s="304">
        <f t="shared" si="37"/>
        <v>0</v>
      </c>
    </row>
    <row r="43" spans="1:65" x14ac:dyDescent="0.25">
      <c r="A43" s="495">
        <f>Waste!H7</f>
        <v>0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7"/>
      <c r="S43" s="304">
        <f>IF($AR$21,IF(Z24&lt;&gt;0,Z24,0),0)</f>
        <v>0</v>
      </c>
      <c r="T43" s="305">
        <f>IF(T42=0,0,IF(T42=Y$24,S43,IF(T42=Z$24,0,0)))</f>
        <v>0</v>
      </c>
      <c r="U43" s="305"/>
      <c r="V43" s="304">
        <f t="shared" si="22"/>
        <v>0</v>
      </c>
      <c r="W43" s="304">
        <f t="shared" si="46"/>
        <v>0</v>
      </c>
      <c r="X43" s="304">
        <f t="shared" si="23"/>
        <v>0</v>
      </c>
      <c r="AA43" s="304">
        <f>IF($AR$21,IF(AH24&lt;&gt;0,AH24,0),0)</f>
        <v>0</v>
      </c>
      <c r="AB43" s="305">
        <f>IF(AB42=0,0,IF(AB42=AG$24,AA43,IF(AB42=AH$24,0,0)))</f>
        <v>0</v>
      </c>
      <c r="AC43" s="305"/>
      <c r="AD43" s="304">
        <f t="shared" si="24"/>
        <v>0</v>
      </c>
      <c r="AE43" s="304">
        <f t="shared" si="47"/>
        <v>0</v>
      </c>
      <c r="AF43" s="304">
        <f t="shared" si="25"/>
        <v>0</v>
      </c>
      <c r="AI43" s="304">
        <f>IF($AR$21,IF(AP24&lt;&gt;0,AP24,0),0)</f>
        <v>0</v>
      </c>
      <c r="AJ43" s="305">
        <f>IF(AJ42=0,0,IF(AJ42=AO$24,AI43,IF(AJ42=AP$24,0,0)))</f>
        <v>0</v>
      </c>
      <c r="AK43" s="305"/>
      <c r="AL43" s="304">
        <f t="shared" si="26"/>
        <v>0</v>
      </c>
      <c r="AM43" s="304">
        <f t="shared" si="48"/>
        <v>0</v>
      </c>
      <c r="AN43" s="304">
        <f t="shared" si="27"/>
        <v>0</v>
      </c>
      <c r="AP43" s="304">
        <f t="shared" si="38"/>
        <v>0</v>
      </c>
      <c r="AQ43" s="304">
        <f t="shared" si="39"/>
        <v>0</v>
      </c>
      <c r="AR43" s="304">
        <f t="shared" si="28"/>
        <v>0</v>
      </c>
      <c r="AS43" s="304">
        <f t="shared" si="29"/>
        <v>0</v>
      </c>
      <c r="AU43" s="304" t="e">
        <f>VLOOKUP(AR43,'Priority rules'!$U$15:$V$32,2,FALSE)</f>
        <v>#N/A</v>
      </c>
      <c r="AV43" s="304" t="e">
        <f t="shared" si="40"/>
        <v>#N/A</v>
      </c>
      <c r="AW43" s="304" t="b">
        <f t="shared" si="41"/>
        <v>0</v>
      </c>
      <c r="AX43" s="304">
        <f t="shared" si="42"/>
        <v>0</v>
      </c>
      <c r="AY43" s="304">
        <f t="shared" si="30"/>
        <v>0</v>
      </c>
      <c r="AZ43" s="304">
        <f t="shared" si="31"/>
        <v>0</v>
      </c>
      <c r="BA43" s="304">
        <f t="shared" si="50"/>
        <v>0</v>
      </c>
      <c r="BB43" s="304">
        <f t="shared" ref="BB43:BB106" si="53">IF(BB42=BA43,BA44,BA43)</f>
        <v>0</v>
      </c>
      <c r="BC43" s="304">
        <f t="shared" si="32"/>
        <v>0</v>
      </c>
      <c r="BD43" s="304">
        <f t="shared" si="43"/>
        <v>0</v>
      </c>
      <c r="BE43" s="304">
        <f t="shared" si="44"/>
        <v>0</v>
      </c>
      <c r="BF43" s="304">
        <f t="shared" si="45"/>
        <v>0</v>
      </c>
      <c r="BG43" s="304">
        <f t="shared" si="33"/>
        <v>0</v>
      </c>
      <c r="BH43" s="304">
        <f t="shared" si="34"/>
        <v>0</v>
      </c>
      <c r="BI43" s="304">
        <f t="shared" si="35"/>
        <v>0</v>
      </c>
      <c r="BJ43" s="318">
        <f t="shared" si="52"/>
        <v>0</v>
      </c>
      <c r="BK43" s="304">
        <f>IF(BJ43&lt;&gt;0,BJ43,
IF(BK42=BI42,BI43,
IF(BK42=BI41,BI42,
IF(BK42=BI40,BI41,
IF(BK42=BI39,BI40,
IF(BK42=BI38,BI39,
IF(BK42=BI37,BI38,
IF(BK42=BI36,BI37,
IF(BK42=BI35,BI36,
IF(BK42=BI34,BI35,
IF(BK42=BI33,BI34,
IF(BK42=BI32,BI33,
IF(BK42=BI31,BI32,
IF(BK42=BI30,BI31,
BI30))))))))))))))</f>
        <v>0</v>
      </c>
      <c r="BL43" s="304">
        <f t="shared" si="51"/>
        <v>0</v>
      </c>
      <c r="BM43" s="304">
        <f t="shared" si="37"/>
        <v>0</v>
      </c>
    </row>
    <row r="44" spans="1:65" x14ac:dyDescent="0.25">
      <c r="A44" s="498">
        <f>Waste!H7</f>
        <v>0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500"/>
      <c r="S44" s="304">
        <f>IF($AR$21,IF(S25&lt;&gt;0,S25,IF(U25&lt;&gt;0,U25,IF(V25&lt;&gt;0,V25,IF(W25&lt;&gt;0,W25,IF(X25&lt;&gt;0,X25,IF(Y25&lt;&gt;0,Y25,IF(Z25&lt;&gt;0,Z25,0))))))),0)</f>
        <v>0</v>
      </c>
      <c r="T44" s="305">
        <f>S44</f>
        <v>0</v>
      </c>
      <c r="U44" s="305"/>
      <c r="V44" s="304">
        <f t="shared" si="22"/>
        <v>0</v>
      </c>
      <c r="W44" s="304">
        <f t="shared" si="46"/>
        <v>0</v>
      </c>
      <c r="X44" s="304">
        <f t="shared" si="23"/>
        <v>0</v>
      </c>
      <c r="AA44" s="304">
        <f>IF($AR$21,IF(AA25&lt;&gt;0,AA25,IF(AC25&lt;&gt;0,AC25,IF(AD25&lt;&gt;0,AD25,IF(AE25&lt;&gt;0,AE25,IF(AF25&lt;&gt;0,AF25,IF(AG25&lt;&gt;0,AG25,IF(AH25&lt;&gt;0,AH25,0))))))),0)</f>
        <v>0</v>
      </c>
      <c r="AB44" s="305">
        <f>AA44</f>
        <v>0</v>
      </c>
      <c r="AC44" s="305"/>
      <c r="AD44" s="304">
        <f t="shared" si="24"/>
        <v>0</v>
      </c>
      <c r="AE44" s="304">
        <f t="shared" si="47"/>
        <v>0</v>
      </c>
      <c r="AF44" s="304">
        <f t="shared" si="25"/>
        <v>0</v>
      </c>
      <c r="AI44" s="304">
        <f>IF($AR$21,IF(AI25&lt;&gt;0,AI25,IF(AK25&lt;&gt;0,AK25,IF(AL25&lt;&gt;0,AL25,IF(AM25&lt;&gt;0,AM25,IF(AN25&lt;&gt;0,AN25,IF(AO25&lt;&gt;0,AO25,IF(AP25&lt;&gt;0,AP25,0))))))),0)</f>
        <v>0</v>
      </c>
      <c r="AJ44" s="305">
        <f>AI44</f>
        <v>0</v>
      </c>
      <c r="AK44" s="305"/>
      <c r="AL44" s="304">
        <f t="shared" si="26"/>
        <v>0</v>
      </c>
      <c r="AM44" s="304">
        <f t="shared" si="48"/>
        <v>0</v>
      </c>
      <c r="AN44" s="304">
        <f t="shared" si="27"/>
        <v>0</v>
      </c>
      <c r="AP44" s="304">
        <f t="shared" si="38"/>
        <v>0</v>
      </c>
      <c r="AQ44" s="304">
        <f t="shared" si="39"/>
        <v>0</v>
      </c>
      <c r="AR44" s="304">
        <f t="shared" si="28"/>
        <v>0</v>
      </c>
      <c r="AS44" s="304">
        <f t="shared" si="29"/>
        <v>0</v>
      </c>
      <c r="AU44" s="304" t="e">
        <f>VLOOKUP(AR44,'Priority rules'!$U$15:$V$32,2,FALSE)</f>
        <v>#N/A</v>
      </c>
      <c r="AV44" s="304" t="e">
        <f t="shared" si="40"/>
        <v>#N/A</v>
      </c>
      <c r="AW44" s="304" t="b">
        <f t="shared" si="41"/>
        <v>0</v>
      </c>
      <c r="AX44" s="304">
        <f t="shared" si="42"/>
        <v>0</v>
      </c>
      <c r="AY44" s="304">
        <f t="shared" si="30"/>
        <v>0</v>
      </c>
      <c r="AZ44" s="304">
        <f t="shared" si="31"/>
        <v>0</v>
      </c>
      <c r="BA44" s="304">
        <f t="shared" si="50"/>
        <v>0</v>
      </c>
      <c r="BB44" s="304">
        <f t="shared" si="53"/>
        <v>0</v>
      </c>
      <c r="BC44" s="304">
        <f t="shared" si="32"/>
        <v>0</v>
      </c>
      <c r="BD44" s="304">
        <f t="shared" si="43"/>
        <v>0</v>
      </c>
      <c r="BE44" s="304">
        <f t="shared" si="44"/>
        <v>0</v>
      </c>
      <c r="BF44" s="304">
        <f t="shared" si="45"/>
        <v>0</v>
      </c>
      <c r="BG44" s="304">
        <f t="shared" si="33"/>
        <v>0</v>
      </c>
      <c r="BH44" s="304">
        <f t="shared" si="34"/>
        <v>0</v>
      </c>
      <c r="BI44" s="304">
        <f t="shared" si="35"/>
        <v>0</v>
      </c>
    </row>
    <row r="45" spans="1:65" x14ac:dyDescent="0.25">
      <c r="A45" s="32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15"/>
      <c r="O45" s="115"/>
      <c r="P45" s="115"/>
      <c r="Q45" s="68"/>
      <c r="R45" s="303"/>
      <c r="S45" s="304">
        <f>IF($AR$21,IF(U25&lt;&gt;0,U25,IF(V25&lt;&gt;0,V25,IF(W25&lt;&gt;0,W25,IF(X25&lt;&gt;0,X25,IF(Y25&lt;&gt;0,Y25,IF(Z25&lt;&gt;0,Z25,0)))))),0)</f>
        <v>0</v>
      </c>
      <c r="T45" s="305">
        <f>IF(T44=0,0,IF(T44=S$25,S45,IF(T44=U$25,S46,IF(T44=V$25,S47,IF(T44=W$25,S48,IF(T44=X$25,S49,IF(T44=Y$25,S50,IF(T44=Z$25,0,0))))))))</f>
        <v>0</v>
      </c>
      <c r="U45" s="305"/>
      <c r="V45" s="304">
        <f t="shared" si="22"/>
        <v>0</v>
      </c>
      <c r="W45" s="304">
        <f t="shared" si="46"/>
        <v>0</v>
      </c>
      <c r="X45" s="304">
        <f t="shared" si="23"/>
        <v>0</v>
      </c>
      <c r="AA45" s="304">
        <f>IF($AR$21,IF(AC25&lt;&gt;0,AC25,IF(AD25&lt;&gt;0,AD25,IF(AE25&lt;&gt;0,AE25,IF(AF25&lt;&gt;0,AF25,IF(AG25&lt;&gt;0,AG25,IF(AH25&lt;&gt;0,AH25,0)))))),0)</f>
        <v>0</v>
      </c>
      <c r="AB45" s="305">
        <f>IF(AB44=0,0,IF(AB44=AA$25,AA45,IF(AB44=AC$25,AA46,IF(AB44=AD$25,AA47,IF(AB44=AE$25,AA48,IF(AB44=AF$25,AA49,IF(AB44=AG$25,AA50,IF(AB44=AH$25,0,0))))))))</f>
        <v>0</v>
      </c>
      <c r="AC45" s="305"/>
      <c r="AD45" s="304">
        <f t="shared" si="24"/>
        <v>0</v>
      </c>
      <c r="AE45" s="304">
        <f t="shared" si="47"/>
        <v>0</v>
      </c>
      <c r="AF45" s="304">
        <f t="shared" si="25"/>
        <v>0</v>
      </c>
      <c r="AI45" s="304">
        <f>IF($AR$21,IF(AK25&lt;&gt;0,AK25,IF(AL25&lt;&gt;0,AL25,IF(AM25&lt;&gt;0,AM25,IF(AN25&lt;&gt;0,AN25,IF(AO25&lt;&gt;0,AO25,IF(AP25&lt;&gt;0,AP25,0)))))),0)</f>
        <v>0</v>
      </c>
      <c r="AJ45" s="305">
        <f>IF(AJ44=0,0,IF(AJ44=AI$25,AI45,IF(AJ44=AK$25,AI46,IF(AJ44=AL$25,AI47,IF(AJ44=AM$25,AI48,IF(AJ44=AN$25,AI49,IF(AJ44=AO$25,AI50,IF(AJ44=AP$25,0,0))))))))</f>
        <v>0</v>
      </c>
      <c r="AK45" s="305"/>
      <c r="AL45" s="304">
        <f t="shared" si="26"/>
        <v>0</v>
      </c>
      <c r="AM45" s="304">
        <f t="shared" si="48"/>
        <v>0</v>
      </c>
      <c r="AN45" s="304">
        <f t="shared" si="27"/>
        <v>0</v>
      </c>
      <c r="AP45" s="304">
        <f t="shared" si="38"/>
        <v>0</v>
      </c>
      <c r="AQ45" s="304">
        <f t="shared" si="39"/>
        <v>0</v>
      </c>
      <c r="AR45" s="304">
        <f t="shared" si="28"/>
        <v>0</v>
      </c>
      <c r="AS45" s="304">
        <f t="shared" si="29"/>
        <v>0</v>
      </c>
      <c r="AU45" s="304" t="e">
        <f>VLOOKUP(AR45,'Priority rules'!$U$15:$V$32,2,FALSE)</f>
        <v>#N/A</v>
      </c>
      <c r="AV45" s="304" t="e">
        <f t="shared" si="40"/>
        <v>#N/A</v>
      </c>
      <c r="AW45" s="304" t="b">
        <f t="shared" si="41"/>
        <v>0</v>
      </c>
      <c r="AX45" s="304">
        <f t="shared" si="42"/>
        <v>0</v>
      </c>
      <c r="AY45" s="304">
        <f t="shared" si="30"/>
        <v>0</v>
      </c>
      <c r="AZ45" s="304">
        <f t="shared" si="31"/>
        <v>0</v>
      </c>
      <c r="BA45" s="304">
        <f t="shared" si="50"/>
        <v>0</v>
      </c>
      <c r="BB45" s="304">
        <f t="shared" si="53"/>
        <v>0</v>
      </c>
      <c r="BC45" s="304">
        <f t="shared" si="32"/>
        <v>0</v>
      </c>
      <c r="BD45" s="304">
        <f t="shared" si="43"/>
        <v>0</v>
      </c>
      <c r="BE45" s="304">
        <f t="shared" si="44"/>
        <v>0</v>
      </c>
      <c r="BF45" s="304">
        <f t="shared" si="45"/>
        <v>0</v>
      </c>
      <c r="BG45" s="304">
        <f t="shared" si="33"/>
        <v>0</v>
      </c>
      <c r="BH45" s="304">
        <f t="shared" si="34"/>
        <v>0</v>
      </c>
      <c r="BI45" s="304">
        <f t="shared" si="35"/>
        <v>0</v>
      </c>
    </row>
    <row r="46" spans="1:65" x14ac:dyDescent="0.25">
      <c r="A46" s="322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89"/>
      <c r="M46" s="89"/>
      <c r="N46" s="115"/>
      <c r="O46" s="115"/>
      <c r="P46" s="115"/>
      <c r="Q46" s="68"/>
      <c r="R46" s="303"/>
      <c r="S46" s="304">
        <f>IF($AR$21,IF(V25&lt;&gt;0,V25,IF(W25&lt;&gt;0,W25,IF(X25&lt;&gt;0,X25,IF(Y25&lt;&gt;0,Y25,IF(Z25&lt;&gt;0,Z25,0))))),0)</f>
        <v>0</v>
      </c>
      <c r="T46" s="305">
        <f>IF(T45=0,0,IF(T45=U$25,S46,IF(T45=V$25,S47,IF(T45=W$25,S48,IF(T45=X$25,S49,IF(T45=Y$25,S50,IF(T45=Z$25,0,0)))))))</f>
        <v>0</v>
      </c>
      <c r="U46" s="305"/>
      <c r="V46" s="304">
        <f t="shared" si="22"/>
        <v>0</v>
      </c>
      <c r="W46" s="304">
        <f t="shared" si="46"/>
        <v>0</v>
      </c>
      <c r="X46" s="304">
        <f t="shared" si="23"/>
        <v>0</v>
      </c>
      <c r="AA46" s="304">
        <f>IF($AR$21,IF(AD25&lt;&gt;0,AD25,IF(AE25&lt;&gt;0,AE25,IF(AF25&lt;&gt;0,AF25,IF(AG25&lt;&gt;0,AG25,IF(AH25&lt;&gt;0,AH25,0))))),0)</f>
        <v>0</v>
      </c>
      <c r="AB46" s="305">
        <f>IF(AB45=0,0,IF(AB45=AC$25,AA46,IF(AB45=AD$25,AA47,IF(AB45=AE$25,AA48,IF(AB45=AF$25,AA49,IF(AB45=AG$25,AA50,IF(AB45=AH$25,0,0)))))))</f>
        <v>0</v>
      </c>
      <c r="AC46" s="305"/>
      <c r="AD46" s="304">
        <f t="shared" si="24"/>
        <v>0</v>
      </c>
      <c r="AE46" s="304">
        <f t="shared" si="47"/>
        <v>0</v>
      </c>
      <c r="AF46" s="304">
        <f t="shared" si="25"/>
        <v>0</v>
      </c>
      <c r="AI46" s="304">
        <f>IF($AR$21,IF(AL25&lt;&gt;0,AL25,IF(AM25&lt;&gt;0,AM25,IF(AN25&lt;&gt;0,AN25,IF(AO25&lt;&gt;0,AO25,IF(AP25&lt;&gt;0,AP25,0))))),0)</f>
        <v>0</v>
      </c>
      <c r="AJ46" s="305">
        <f>IF(AJ45=0,0,IF(AJ45=AK$25,AI46,IF(AJ45=AL$25,AI47,IF(AJ45=AM$25,AI48,IF(AJ45=AN$25,AI49,IF(AJ45=AO$25,AI50,IF(AJ45=AP$25,0,0)))))))</f>
        <v>0</v>
      </c>
      <c r="AK46" s="305"/>
      <c r="AL46" s="304">
        <f t="shared" si="26"/>
        <v>0</v>
      </c>
      <c r="AM46" s="304">
        <f t="shared" si="48"/>
        <v>0</v>
      </c>
      <c r="AN46" s="304">
        <f t="shared" si="27"/>
        <v>0</v>
      </c>
      <c r="AP46" s="304">
        <f t="shared" si="38"/>
        <v>0</v>
      </c>
      <c r="AQ46" s="304">
        <f t="shared" si="39"/>
        <v>0</v>
      </c>
      <c r="AR46" s="304">
        <f t="shared" si="28"/>
        <v>0</v>
      </c>
      <c r="AS46" s="304">
        <f t="shared" si="29"/>
        <v>0</v>
      </c>
      <c r="AU46" s="304" t="e">
        <f>VLOOKUP(AR46,'Priority rules'!$U$15:$V$32,2,FALSE)</f>
        <v>#N/A</v>
      </c>
      <c r="AV46" s="304" t="e">
        <f t="shared" si="40"/>
        <v>#N/A</v>
      </c>
      <c r="AW46" s="304" t="b">
        <f t="shared" si="41"/>
        <v>0</v>
      </c>
      <c r="AX46" s="304">
        <f t="shared" si="42"/>
        <v>0</v>
      </c>
      <c r="AY46" s="304">
        <f t="shared" si="30"/>
        <v>0</v>
      </c>
      <c r="AZ46" s="304">
        <f t="shared" si="31"/>
        <v>0</v>
      </c>
      <c r="BA46" s="304">
        <f t="shared" si="50"/>
        <v>0</v>
      </c>
      <c r="BB46" s="304">
        <f t="shared" si="53"/>
        <v>0</v>
      </c>
      <c r="BC46" s="304">
        <f t="shared" si="32"/>
        <v>0</v>
      </c>
      <c r="BD46" s="304">
        <f t="shared" si="43"/>
        <v>0</v>
      </c>
      <c r="BE46" s="304">
        <f t="shared" si="44"/>
        <v>0</v>
      </c>
      <c r="BF46" s="304">
        <f t="shared" si="45"/>
        <v>0</v>
      </c>
      <c r="BG46" s="304">
        <f t="shared" si="33"/>
        <v>0</v>
      </c>
      <c r="BH46" s="304">
        <f t="shared" si="34"/>
        <v>0</v>
      </c>
      <c r="BI46" s="304">
        <f t="shared" si="35"/>
        <v>0</v>
      </c>
    </row>
    <row r="47" spans="1:65" x14ac:dyDescent="0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89"/>
      <c r="M47" s="89"/>
      <c r="N47" s="115"/>
      <c r="O47" s="115"/>
      <c r="P47" s="115"/>
      <c r="Q47" s="68"/>
      <c r="R47" s="303"/>
      <c r="S47" s="304">
        <f>IF($AR$21,IF(W25&lt;&gt;0,W25,IF(X25&lt;&gt;0,X25,IF(Y25&lt;&gt;0,Y25,IF(Z25&lt;&gt;0,Z25,0)))),0)</f>
        <v>0</v>
      </c>
      <c r="T47" s="305">
        <f>IF(T46=0,0,IF(T46=V$25,S47,IF(T46=W$25,S48,IF(T46=X$25,S49,IF(T46=Y$25,S50,IF(T46=Z$25,0,0))))))</f>
        <v>0</v>
      </c>
      <c r="U47" s="305"/>
      <c r="V47" s="304">
        <f t="shared" si="22"/>
        <v>0</v>
      </c>
      <c r="W47" s="304">
        <f t="shared" si="46"/>
        <v>0</v>
      </c>
      <c r="X47" s="304">
        <f t="shared" si="23"/>
        <v>0</v>
      </c>
      <c r="AA47" s="304">
        <f>IF($AR$21,IF(AE25&lt;&gt;0,AE25,IF(AF25&lt;&gt;0,AF25,IF(AG25&lt;&gt;0,AG25,IF(AH25&lt;&gt;0,AH25,0)))),0)</f>
        <v>0</v>
      </c>
      <c r="AB47" s="305">
        <f>IF(AB46=0,0,IF(AB46=AD$25,AA47,IF(AB46=AE$25,AA48,IF(AB46=AF$25,AA49,IF(AB46=AG$25,AA50,IF(AB46=AH$25,0,0))))))</f>
        <v>0</v>
      </c>
      <c r="AC47" s="305"/>
      <c r="AD47" s="304">
        <f t="shared" si="24"/>
        <v>0</v>
      </c>
      <c r="AE47" s="304">
        <f t="shared" si="47"/>
        <v>0</v>
      </c>
      <c r="AF47" s="304">
        <f t="shared" si="25"/>
        <v>0</v>
      </c>
      <c r="AI47" s="304">
        <f>IF($AR$21,IF(AM25&lt;&gt;0,AM25,IF(AN25&lt;&gt;0,AN25,IF(AO25&lt;&gt;0,AO25,IF(AP25&lt;&gt;0,AP25,0)))),0)</f>
        <v>0</v>
      </c>
      <c r="AJ47" s="305">
        <f>IF(AJ46=0,0,IF(AJ46=AL$25,AI47,IF(AJ46=AM$25,AI48,IF(AJ46=AN$25,AI49,IF(AJ46=AO$25,AI50,IF(AJ46=AP$25,0,0))))))</f>
        <v>0</v>
      </c>
      <c r="AK47" s="305"/>
      <c r="AL47" s="304">
        <f t="shared" si="26"/>
        <v>0</v>
      </c>
      <c r="AM47" s="304">
        <f t="shared" si="48"/>
        <v>0</v>
      </c>
      <c r="AN47" s="304">
        <f t="shared" si="27"/>
        <v>0</v>
      </c>
      <c r="AP47" s="304">
        <f t="shared" si="38"/>
        <v>0</v>
      </c>
      <c r="AQ47" s="304">
        <f t="shared" si="39"/>
        <v>0</v>
      </c>
      <c r="AR47" s="304">
        <f t="shared" si="28"/>
        <v>0</v>
      </c>
      <c r="AS47" s="304">
        <f t="shared" si="29"/>
        <v>0</v>
      </c>
      <c r="AU47" s="304" t="e">
        <f>VLOOKUP(AR47,'Priority rules'!$U$15:$V$32,2,FALSE)</f>
        <v>#N/A</v>
      </c>
      <c r="AV47" s="304" t="e">
        <f t="shared" si="40"/>
        <v>#N/A</v>
      </c>
      <c r="AW47" s="304" t="b">
        <f t="shared" si="41"/>
        <v>0</v>
      </c>
      <c r="AX47" s="304">
        <f t="shared" si="42"/>
        <v>0</v>
      </c>
      <c r="AY47" s="304">
        <f t="shared" si="30"/>
        <v>0</v>
      </c>
      <c r="AZ47" s="304">
        <f t="shared" si="31"/>
        <v>0</v>
      </c>
      <c r="BA47" s="304">
        <f t="shared" si="50"/>
        <v>0</v>
      </c>
      <c r="BB47" s="304">
        <f t="shared" si="53"/>
        <v>0</v>
      </c>
      <c r="BC47" s="304">
        <f t="shared" si="32"/>
        <v>0</v>
      </c>
      <c r="BD47" s="304">
        <f t="shared" si="43"/>
        <v>0</v>
      </c>
      <c r="BE47" s="304">
        <f t="shared" si="44"/>
        <v>0</v>
      </c>
      <c r="BF47" s="304">
        <f t="shared" si="45"/>
        <v>0</v>
      </c>
      <c r="BG47" s="304">
        <f t="shared" si="33"/>
        <v>0</v>
      </c>
      <c r="BH47" s="304">
        <f t="shared" si="34"/>
        <v>0</v>
      </c>
      <c r="BI47" s="304">
        <f t="shared" si="35"/>
        <v>0</v>
      </c>
    </row>
    <row r="48" spans="1:65" x14ac:dyDescent="0.2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89"/>
      <c r="M48" s="89"/>
      <c r="N48" s="115"/>
      <c r="O48" s="115"/>
      <c r="P48" s="115"/>
      <c r="Q48" s="68"/>
      <c r="R48" s="303"/>
      <c r="S48" s="304">
        <f>IF($AR$21,IF(X25&lt;&gt;0,X25,IF(Y25&lt;&gt;0,Y25,IF(Z25&lt;&gt;0,Z25,0))),0)</f>
        <v>0</v>
      </c>
      <c r="T48" s="305">
        <f>IF(T47=0,0,IF(T47=W$25,S48,IF(T47=X$25,S49,IF(T47=Y$25,S50,IF(T47=Z$25,0,0)))))</f>
        <v>0</v>
      </c>
      <c r="U48" s="305"/>
      <c r="V48" s="304">
        <f t="shared" si="22"/>
        <v>0</v>
      </c>
      <c r="W48" s="304">
        <f t="shared" si="46"/>
        <v>0</v>
      </c>
      <c r="X48" s="304">
        <f t="shared" si="23"/>
        <v>0</v>
      </c>
      <c r="AA48" s="304">
        <f>IF($AR$21,IF(AF25&lt;&gt;0,AF25,IF(AG25&lt;&gt;0,AG25,IF(AH25&lt;&gt;0,AH25,0))),0)</f>
        <v>0</v>
      </c>
      <c r="AB48" s="305">
        <f>IF(AB47=0,0,IF(AB47=AE$25,AA48,IF(AB47=AF$25,AA49,IF(AB47=AG$25,AA50,IF(AB47=AH$25,0,0)))))</f>
        <v>0</v>
      </c>
      <c r="AC48" s="305"/>
      <c r="AD48" s="304">
        <f t="shared" si="24"/>
        <v>0</v>
      </c>
      <c r="AE48" s="304">
        <f t="shared" si="47"/>
        <v>0</v>
      </c>
      <c r="AF48" s="304">
        <f t="shared" si="25"/>
        <v>0</v>
      </c>
      <c r="AI48" s="304">
        <f>IF($AR$21,IF(AN25&lt;&gt;0,AN25,IF(AO25&lt;&gt;0,AO25,IF(AP25&lt;&gt;0,AP25,0))),0)</f>
        <v>0</v>
      </c>
      <c r="AJ48" s="305">
        <f>IF(AJ47=0,0,IF(AJ47=AM$25,AI48,IF(AJ47=AN$25,AI49,IF(AJ47=AO$25,AI50,IF(AJ47=AP$25,0,0)))))</f>
        <v>0</v>
      </c>
      <c r="AK48" s="305"/>
      <c r="AL48" s="304">
        <f t="shared" si="26"/>
        <v>0</v>
      </c>
      <c r="AM48" s="304">
        <f t="shared" si="48"/>
        <v>0</v>
      </c>
      <c r="AN48" s="304">
        <f t="shared" si="27"/>
        <v>0</v>
      </c>
      <c r="AP48" s="304">
        <f t="shared" si="38"/>
        <v>0</v>
      </c>
      <c r="AQ48" s="304">
        <f t="shared" si="39"/>
        <v>0</v>
      </c>
      <c r="AR48" s="304">
        <f t="shared" si="28"/>
        <v>0</v>
      </c>
      <c r="AS48" s="304">
        <f t="shared" si="29"/>
        <v>0</v>
      </c>
      <c r="AU48" s="304" t="e">
        <f>VLOOKUP(AR48,'Priority rules'!$U$15:$V$32,2,FALSE)</f>
        <v>#N/A</v>
      </c>
      <c r="AV48" s="304" t="e">
        <f t="shared" si="40"/>
        <v>#N/A</v>
      </c>
      <c r="AW48" s="304" t="b">
        <f t="shared" si="41"/>
        <v>0</v>
      </c>
      <c r="AX48" s="304">
        <f t="shared" si="42"/>
        <v>0</v>
      </c>
      <c r="AY48" s="304">
        <f t="shared" si="30"/>
        <v>0</v>
      </c>
      <c r="AZ48" s="304">
        <f t="shared" si="31"/>
        <v>0</v>
      </c>
      <c r="BA48" s="304">
        <f t="shared" si="50"/>
        <v>0</v>
      </c>
      <c r="BB48" s="304">
        <f t="shared" si="53"/>
        <v>0</v>
      </c>
      <c r="BC48" s="304">
        <f t="shared" si="32"/>
        <v>0</v>
      </c>
      <c r="BD48" s="304">
        <f t="shared" si="43"/>
        <v>0</v>
      </c>
      <c r="BE48" s="304">
        <f t="shared" si="44"/>
        <v>0</v>
      </c>
      <c r="BF48" s="304">
        <f t="shared" si="45"/>
        <v>0</v>
      </c>
      <c r="BG48" s="304">
        <f t="shared" si="33"/>
        <v>0</v>
      </c>
      <c r="BH48" s="304">
        <f t="shared" si="34"/>
        <v>0</v>
      </c>
      <c r="BI48" s="304">
        <f t="shared" si="35"/>
        <v>0</v>
      </c>
    </row>
    <row r="49" spans="2:61" x14ac:dyDescent="0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89"/>
      <c r="M49" s="89"/>
      <c r="N49" s="115"/>
      <c r="O49" s="115"/>
      <c r="P49" s="115"/>
      <c r="Q49" s="68"/>
      <c r="R49" s="303"/>
      <c r="S49" s="304">
        <f>IF($AR$21,IF(Y25&lt;&gt;0,Y25,IF(Z25&lt;&gt;0,Z25,0)),0)</f>
        <v>0</v>
      </c>
      <c r="T49" s="305">
        <f>IF(T48=0,0,IF(T48=X$25,S49,IF(T48=Y$25,S50,IF(T48=Z$25,0,0))))</f>
        <v>0</v>
      </c>
      <c r="U49" s="305"/>
      <c r="V49" s="304">
        <f t="shared" si="22"/>
        <v>0</v>
      </c>
      <c r="W49" s="304">
        <f t="shared" si="46"/>
        <v>0</v>
      </c>
      <c r="X49" s="304">
        <f t="shared" si="23"/>
        <v>0</v>
      </c>
      <c r="AA49" s="304">
        <f>IF($AR$21,IF(AG25&lt;&gt;0,AG25,IF(AH25&lt;&gt;0,AH25,0)),0)</f>
        <v>0</v>
      </c>
      <c r="AB49" s="305">
        <f>IF(AB48=0,0,IF(AB48=AF$25,AA49,IF(AB48=AG$25,AA50,IF(AB48=AH$25,0,0))))</f>
        <v>0</v>
      </c>
      <c r="AC49" s="305"/>
      <c r="AD49" s="304">
        <f t="shared" si="24"/>
        <v>0</v>
      </c>
      <c r="AE49" s="304">
        <f t="shared" si="47"/>
        <v>0</v>
      </c>
      <c r="AF49" s="304">
        <f t="shared" si="25"/>
        <v>0</v>
      </c>
      <c r="AI49" s="304">
        <f>IF($AR$21,IF(AO25&lt;&gt;0,AO25,IF(AP25&lt;&gt;0,AP25,0)),0)</f>
        <v>0</v>
      </c>
      <c r="AJ49" s="305">
        <f>IF(AJ48=0,0,IF(AJ48=AN$25,AI49,IF(AJ48=AO$25,AI50,IF(AJ48=AP$25,0,0))))</f>
        <v>0</v>
      </c>
      <c r="AK49" s="305"/>
      <c r="AL49" s="304">
        <f t="shared" si="26"/>
        <v>0</v>
      </c>
      <c r="AM49" s="304">
        <f>IF(ISNA(VLOOKUP(AL49,AL50:AL90,1,FALSE)),AL49,0)</f>
        <v>0</v>
      </c>
      <c r="AN49" s="304">
        <f t="shared" si="27"/>
        <v>0</v>
      </c>
      <c r="AP49" s="304">
        <f t="shared" si="38"/>
        <v>0</v>
      </c>
      <c r="AQ49" s="304">
        <f t="shared" si="39"/>
        <v>0</v>
      </c>
      <c r="AR49" s="304">
        <f t="shared" si="28"/>
        <v>0</v>
      </c>
      <c r="AS49" s="304">
        <f t="shared" si="29"/>
        <v>0</v>
      </c>
      <c r="AU49" s="304" t="e">
        <f>VLOOKUP(AR49,'Priority rules'!$U$15:$V$32,2,FALSE)</f>
        <v>#N/A</v>
      </c>
      <c r="AV49" s="304" t="e">
        <f t="shared" si="40"/>
        <v>#N/A</v>
      </c>
      <c r="AW49" s="304" t="b">
        <f t="shared" si="41"/>
        <v>0</v>
      </c>
      <c r="AX49" s="304">
        <f t="shared" si="42"/>
        <v>0</v>
      </c>
      <c r="AY49" s="304">
        <f t="shared" si="30"/>
        <v>0</v>
      </c>
      <c r="AZ49" s="304">
        <f t="shared" si="31"/>
        <v>0</v>
      </c>
      <c r="BA49" s="304">
        <f t="shared" si="50"/>
        <v>0</v>
      </c>
      <c r="BB49" s="304">
        <f t="shared" si="53"/>
        <v>0</v>
      </c>
      <c r="BC49" s="304">
        <f t="shared" si="32"/>
        <v>0</v>
      </c>
      <c r="BD49" s="304">
        <f t="shared" si="43"/>
        <v>0</v>
      </c>
      <c r="BE49" s="304">
        <f t="shared" si="44"/>
        <v>0</v>
      </c>
      <c r="BF49" s="304">
        <f t="shared" si="45"/>
        <v>0</v>
      </c>
      <c r="BG49" s="304">
        <f t="shared" si="33"/>
        <v>0</v>
      </c>
      <c r="BH49" s="304">
        <f t="shared" si="34"/>
        <v>0</v>
      </c>
      <c r="BI49" s="304">
        <f t="shared" si="35"/>
        <v>0</v>
      </c>
    </row>
    <row r="50" spans="2:61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89"/>
      <c r="M50" s="89"/>
      <c r="N50" s="115"/>
      <c r="O50" s="115"/>
      <c r="P50" s="115"/>
      <c r="Q50" s="68"/>
      <c r="R50" s="303"/>
      <c r="S50" s="304">
        <f>IF($AR$21,IF(Z25&lt;&gt;0,Z25,0),0)</f>
        <v>0</v>
      </c>
      <c r="T50" s="305">
        <f>IF(T49=0,0,IF(T49=Y$25,S50,IF(T49=Z$25,0,0)))</f>
        <v>0</v>
      </c>
      <c r="U50" s="305"/>
      <c r="V50" s="304">
        <f t="shared" si="22"/>
        <v>0</v>
      </c>
      <c r="W50" s="304">
        <f t="shared" si="46"/>
        <v>0</v>
      </c>
      <c r="X50" s="304">
        <f t="shared" si="23"/>
        <v>0</v>
      </c>
      <c r="AA50" s="304">
        <f>IF($AR$21,IF(AH25&lt;&gt;0,AH25,0),0)</f>
        <v>0</v>
      </c>
      <c r="AB50" s="305">
        <f>IF(AB49=0,0,IF(AB49=AG$25,AA50,IF(AB49=AH$25,0,0)))</f>
        <v>0</v>
      </c>
      <c r="AC50" s="305"/>
      <c r="AD50" s="304">
        <f t="shared" si="24"/>
        <v>0</v>
      </c>
      <c r="AE50" s="304">
        <f t="shared" si="47"/>
        <v>0</v>
      </c>
      <c r="AF50" s="304">
        <f t="shared" si="25"/>
        <v>0</v>
      </c>
      <c r="AI50" s="304">
        <f>IF($AR$21,IF(AP25&lt;&gt;0,AP25,0),0)</f>
        <v>0</v>
      </c>
      <c r="AJ50" s="305">
        <f>IF(AJ49=0,0,IF(AJ49=AO$25,AI50,IF(AJ49=AP$25,0,0)))</f>
        <v>0</v>
      </c>
      <c r="AK50" s="305"/>
      <c r="AL50" s="304">
        <f t="shared" si="26"/>
        <v>0</v>
      </c>
      <c r="AM50" s="304">
        <f t="shared" si="48"/>
        <v>0</v>
      </c>
      <c r="AN50" s="304">
        <f t="shared" si="27"/>
        <v>0</v>
      </c>
      <c r="AP50" s="304">
        <f t="shared" si="38"/>
        <v>0</v>
      </c>
      <c r="AQ50" s="304">
        <f t="shared" si="39"/>
        <v>0</v>
      </c>
      <c r="AR50" s="304">
        <f t="shared" si="28"/>
        <v>0</v>
      </c>
      <c r="AS50" s="304">
        <f t="shared" si="29"/>
        <v>0</v>
      </c>
      <c r="AU50" s="304" t="e">
        <f>VLOOKUP(AR50,'Priority rules'!$U$15:$V$32,2,FALSE)</f>
        <v>#N/A</v>
      </c>
      <c r="AV50" s="304" t="e">
        <f t="shared" si="40"/>
        <v>#N/A</v>
      </c>
      <c r="AW50" s="304" t="b">
        <f t="shared" si="41"/>
        <v>0</v>
      </c>
      <c r="AX50" s="304">
        <f t="shared" si="42"/>
        <v>0</v>
      </c>
      <c r="AY50" s="304">
        <f t="shared" si="30"/>
        <v>0</v>
      </c>
      <c r="AZ50" s="304">
        <f t="shared" si="31"/>
        <v>0</v>
      </c>
      <c r="BA50" s="304">
        <f t="shared" si="50"/>
        <v>0</v>
      </c>
      <c r="BB50" s="304">
        <f t="shared" si="53"/>
        <v>0</v>
      </c>
      <c r="BC50" s="304">
        <f t="shared" si="32"/>
        <v>0</v>
      </c>
      <c r="BD50" s="304">
        <f t="shared" si="43"/>
        <v>0</v>
      </c>
      <c r="BE50" s="304">
        <f t="shared" si="44"/>
        <v>0</v>
      </c>
      <c r="BF50" s="304">
        <f t="shared" si="45"/>
        <v>0</v>
      </c>
      <c r="BG50" s="304">
        <f t="shared" si="33"/>
        <v>0</v>
      </c>
      <c r="BH50" s="304">
        <f t="shared" si="34"/>
        <v>0</v>
      </c>
      <c r="BI50" s="304">
        <f t="shared" si="35"/>
        <v>0</v>
      </c>
    </row>
    <row r="51" spans="2:61" x14ac:dyDescent="0.2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89"/>
      <c r="M51" s="89"/>
      <c r="N51" s="115"/>
      <c r="O51" s="115"/>
      <c r="P51" s="115"/>
      <c r="Q51" s="68"/>
      <c r="R51" s="303"/>
      <c r="S51" s="304">
        <f>IF($AR$21,IF(S26&lt;&gt;0,S26,IF(U26&lt;&gt;0,U26,IF(V26&lt;&gt;0,V26,IF(W26&lt;&gt;0,W26,IF(X26&lt;&gt;0,X26,IF(Y26&lt;&gt;0,Y26,IF(Z26&lt;&gt;0,Z26,0))))))),0)</f>
        <v>0</v>
      </c>
      <c r="T51" s="305">
        <f>S51</f>
        <v>0</v>
      </c>
      <c r="U51" s="305"/>
      <c r="V51" s="304">
        <f t="shared" si="22"/>
        <v>0</v>
      </c>
      <c r="W51" s="304">
        <f t="shared" si="46"/>
        <v>0</v>
      </c>
      <c r="X51" s="304">
        <f t="shared" si="23"/>
        <v>0</v>
      </c>
      <c r="AA51" s="304">
        <f>IF($AR$21,IF(AA26&lt;&gt;0,AA26,IF(AC26&lt;&gt;0,AC26,IF(AD26&lt;&gt;0,AD26,IF(AE26&lt;&gt;0,AE26,IF(AF26&lt;&gt;0,AF26,IF(AG26&lt;&gt;0,AG26,IF(AH26&lt;&gt;0,AH26,0))))))),0)</f>
        <v>0</v>
      </c>
      <c r="AB51" s="305">
        <f>AA51</f>
        <v>0</v>
      </c>
      <c r="AC51" s="305"/>
      <c r="AD51" s="304">
        <f t="shared" si="24"/>
        <v>0</v>
      </c>
      <c r="AE51" s="304">
        <f t="shared" si="47"/>
        <v>0</v>
      </c>
      <c r="AF51" s="304">
        <f t="shared" si="25"/>
        <v>0</v>
      </c>
      <c r="AI51" s="304">
        <f>IF($AR$21,IF(AI26&lt;&gt;0,AI26,IF(AK26&lt;&gt;0,AK26,IF(AL26&lt;&gt;0,AL26,IF(AM26&lt;&gt;0,AM26,IF(AN26&lt;&gt;0,AN26,IF(AO26&lt;&gt;0,AO26,IF(AP26&lt;&gt;0,AP26,0))))))),0)</f>
        <v>0</v>
      </c>
      <c r="AJ51" s="305">
        <f>AI51</f>
        <v>0</v>
      </c>
      <c r="AK51" s="305"/>
      <c r="AL51" s="304">
        <f t="shared" si="26"/>
        <v>0</v>
      </c>
      <c r="AM51" s="304">
        <f t="shared" si="48"/>
        <v>0</v>
      </c>
      <c r="AN51" s="304">
        <f t="shared" si="27"/>
        <v>0</v>
      </c>
      <c r="AP51" s="304">
        <f t="shared" si="38"/>
        <v>0</v>
      </c>
      <c r="AQ51" s="304">
        <f t="shared" si="39"/>
        <v>0</v>
      </c>
      <c r="AR51" s="304">
        <f t="shared" si="28"/>
        <v>0</v>
      </c>
      <c r="AS51" s="304">
        <f t="shared" si="29"/>
        <v>0</v>
      </c>
      <c r="AU51" s="304" t="e">
        <f>VLOOKUP(AR51,'Priority rules'!$U$15:$V$32,2,FALSE)</f>
        <v>#N/A</v>
      </c>
      <c r="AV51" s="304" t="e">
        <f t="shared" si="40"/>
        <v>#N/A</v>
      </c>
      <c r="AW51" s="304" t="b">
        <f t="shared" si="41"/>
        <v>0</v>
      </c>
      <c r="AX51" s="304">
        <f t="shared" si="42"/>
        <v>0</v>
      </c>
      <c r="AY51" s="304">
        <f t="shared" si="30"/>
        <v>0</v>
      </c>
      <c r="AZ51" s="304">
        <f t="shared" si="31"/>
        <v>0</v>
      </c>
      <c r="BA51" s="304">
        <f t="shared" si="50"/>
        <v>0</v>
      </c>
      <c r="BB51" s="304">
        <f t="shared" si="53"/>
        <v>0</v>
      </c>
      <c r="BC51" s="304">
        <f t="shared" si="32"/>
        <v>0</v>
      </c>
      <c r="BD51" s="304">
        <f t="shared" si="43"/>
        <v>0</v>
      </c>
      <c r="BE51" s="304">
        <f t="shared" si="44"/>
        <v>0</v>
      </c>
      <c r="BF51" s="304">
        <f t="shared" si="45"/>
        <v>0</v>
      </c>
      <c r="BG51" s="304">
        <f t="shared" si="33"/>
        <v>0</v>
      </c>
      <c r="BH51" s="304">
        <f t="shared" si="34"/>
        <v>0</v>
      </c>
      <c r="BI51" s="304">
        <f t="shared" si="35"/>
        <v>0</v>
      </c>
    </row>
    <row r="52" spans="2:61" x14ac:dyDescent="0.2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89"/>
      <c r="M52" s="89"/>
      <c r="N52" s="115"/>
      <c r="O52" s="115"/>
      <c r="P52" s="115"/>
      <c r="Q52" s="68"/>
      <c r="R52" s="303"/>
      <c r="S52" s="304">
        <f>IF($AR$21,IF(U26&lt;&gt;0,U26,IF(V26&lt;&gt;0,V26,IF(W26&lt;&gt;0,W26,IF(X26&lt;&gt;0,X26,IF(Y26&lt;&gt;0,Y26,IF(Z26&lt;&gt;0,Z26,0)))))),0)</f>
        <v>0</v>
      </c>
      <c r="T52" s="305">
        <f>IF(T51=0,0,IF(T51=S$26,S52,IF(T51=U$26,S53,IF(T51=V$26,S54,IF(T51=W$26,S55,IF(T51=X$26,S56,IF(T51=Y$26,S57,IF(T51=Z$26,0,0))))))))</f>
        <v>0</v>
      </c>
      <c r="U52" s="305"/>
      <c r="V52" s="304">
        <f t="shared" si="22"/>
        <v>0</v>
      </c>
      <c r="W52" s="304">
        <f t="shared" si="46"/>
        <v>0</v>
      </c>
      <c r="X52" s="304">
        <f t="shared" si="23"/>
        <v>0</v>
      </c>
      <c r="AA52" s="304">
        <f>IF($AR$21,IF(AC26&lt;&gt;0,AC26,IF(AD26&lt;&gt;0,AD26,IF(AE26&lt;&gt;0,AE26,IF(AF26&lt;&gt;0,AF26,IF(AG26&lt;&gt;0,AG26,IF(AH26&lt;&gt;0,AH26,0)))))),0)</f>
        <v>0</v>
      </c>
      <c r="AB52" s="305">
        <f>IF(AB51=0,0,IF(AB51=AA$26,AA52,IF(AB51=AC$26,AA53,IF(AB51=AD$26,AA54,IF(AB51=AE$26,AA55,IF(AB51=AF$26,AA56,IF(AB51=AG$26,AA57,IF(AB51=AH$26,0,0))))))))</f>
        <v>0</v>
      </c>
      <c r="AC52" s="305"/>
      <c r="AD52" s="304">
        <f t="shared" si="24"/>
        <v>0</v>
      </c>
      <c r="AE52" s="304">
        <f t="shared" si="47"/>
        <v>0</v>
      </c>
      <c r="AF52" s="304">
        <f t="shared" si="25"/>
        <v>0</v>
      </c>
      <c r="AI52" s="304">
        <f>IF($AR$21,IF(AK26&lt;&gt;0,AK26,IF(AL26&lt;&gt;0,AL26,IF(AM26&lt;&gt;0,AM26,IF(AN26&lt;&gt;0,AN26,IF(AO26&lt;&gt;0,AO26,IF(AP26&lt;&gt;0,AP26,0)))))),0)</f>
        <v>0</v>
      </c>
      <c r="AJ52" s="305">
        <f>IF(AJ51=0,0,IF(AJ51=AI$26,AI52,IF(AJ51=AK$26,AI53,IF(AJ51=AL$26,AI54,IF(AJ51=AM$26,AI55,IF(AJ51=AN$26,AI56,IF(AJ51=AO$26,AI57,IF(AJ51=AP$26,0,0))))))))</f>
        <v>0</v>
      </c>
      <c r="AK52" s="305"/>
      <c r="AL52" s="304">
        <f t="shared" si="26"/>
        <v>0</v>
      </c>
      <c r="AM52" s="304">
        <f t="shared" si="48"/>
        <v>0</v>
      </c>
      <c r="AN52" s="304">
        <f t="shared" si="27"/>
        <v>0</v>
      </c>
      <c r="AP52" s="304">
        <f t="shared" si="38"/>
        <v>0</v>
      </c>
      <c r="AQ52" s="304">
        <f t="shared" si="39"/>
        <v>0</v>
      </c>
      <c r="AR52" s="304">
        <f t="shared" si="28"/>
        <v>0</v>
      </c>
      <c r="AS52" s="304">
        <f t="shared" si="29"/>
        <v>0</v>
      </c>
      <c r="AU52" s="304" t="e">
        <f>VLOOKUP(AR52,'Priority rules'!$U$15:$V$32,2,FALSE)</f>
        <v>#N/A</v>
      </c>
      <c r="AV52" s="304" t="e">
        <f t="shared" si="40"/>
        <v>#N/A</v>
      </c>
      <c r="AW52" s="304" t="b">
        <f t="shared" si="41"/>
        <v>0</v>
      </c>
      <c r="AX52" s="304">
        <f t="shared" si="42"/>
        <v>0</v>
      </c>
      <c r="AY52" s="304">
        <f t="shared" si="30"/>
        <v>0</v>
      </c>
      <c r="AZ52" s="304">
        <f t="shared" si="31"/>
        <v>0</v>
      </c>
      <c r="BA52" s="304">
        <f t="shared" si="50"/>
        <v>0</v>
      </c>
      <c r="BB52" s="304">
        <f t="shared" si="53"/>
        <v>0</v>
      </c>
      <c r="BC52" s="304">
        <f t="shared" si="32"/>
        <v>0</v>
      </c>
      <c r="BD52" s="304">
        <f t="shared" si="43"/>
        <v>0</v>
      </c>
      <c r="BE52" s="304">
        <f t="shared" si="44"/>
        <v>0</v>
      </c>
      <c r="BF52" s="304">
        <f t="shared" si="45"/>
        <v>0</v>
      </c>
      <c r="BG52" s="304">
        <f t="shared" si="33"/>
        <v>0</v>
      </c>
      <c r="BH52" s="304">
        <f t="shared" si="34"/>
        <v>0</v>
      </c>
      <c r="BI52" s="304">
        <f t="shared" si="35"/>
        <v>0</v>
      </c>
    </row>
    <row r="53" spans="2:61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89"/>
      <c r="M53" s="89"/>
      <c r="N53" s="115"/>
      <c r="O53" s="115"/>
      <c r="P53" s="115"/>
      <c r="Q53" s="68"/>
      <c r="R53" s="501"/>
      <c r="S53" s="304">
        <f>IF($AR$21,IF(V26&lt;&gt;0,V26,IF(W26&lt;&gt;0,W26,IF(X26&lt;&gt;0,X26,IF(Y26&lt;&gt;0,Y26,IF(Z26&lt;&gt;0,Z26,0))))),0)</f>
        <v>0</v>
      </c>
      <c r="T53" s="305">
        <f>IF(T52=0,0,IF(T52=U$26,S53,IF(T52=V$26,S54,IF(T52=W$26,S55,IF(T52=X$26,S56,IF(T52=Y$26,S57,IF(T52=Z$26,0,0)))))))</f>
        <v>0</v>
      </c>
      <c r="U53" s="305"/>
      <c r="V53" s="304">
        <f t="shared" si="22"/>
        <v>0</v>
      </c>
      <c r="W53" s="304">
        <f t="shared" si="46"/>
        <v>0</v>
      </c>
      <c r="X53" s="304">
        <f t="shared" si="23"/>
        <v>0</v>
      </c>
      <c r="AA53" s="304">
        <f>IF($AR$21,IF(AD26&lt;&gt;0,AD26,IF(AE26&lt;&gt;0,AE26,IF(AF26&lt;&gt;0,AF26,IF(AG26&lt;&gt;0,AG26,IF(AH26&lt;&gt;0,AH26,0))))),0)</f>
        <v>0</v>
      </c>
      <c r="AB53" s="305">
        <f>IF(AB52=0,0,IF(AB52=AC$26,AA53,IF(AB52=AD$26,AA54,IF(AB52=AE$26,AA55,IF(AB52=AF$26,AA56,IF(AB52=AG$26,AA57,IF(AB52=AH$26,0,0)))))))</f>
        <v>0</v>
      </c>
      <c r="AC53" s="305"/>
      <c r="AD53" s="304">
        <f t="shared" si="24"/>
        <v>0</v>
      </c>
      <c r="AE53" s="304">
        <f t="shared" si="47"/>
        <v>0</v>
      </c>
      <c r="AF53" s="304">
        <f t="shared" si="25"/>
        <v>0</v>
      </c>
      <c r="AI53" s="304">
        <f>IF($AR$21,IF(AL26&lt;&gt;0,AL26,IF(AM26&lt;&gt;0,AM26,IF(AN26&lt;&gt;0,AN26,IF(AO26&lt;&gt;0,AO26,IF(AP26&lt;&gt;0,AP26,0))))),0)</f>
        <v>0</v>
      </c>
      <c r="AJ53" s="305">
        <f>IF(AJ52=0,0,IF(AJ52=AK$26,AI53,IF(AJ52=AL$26,AI54,IF(AJ52=AM$26,AI55,IF(AJ52=AN$26,AI56,IF(AJ52=AO$26,AI57,IF(AJ52=AP$26,0,0)))))))</f>
        <v>0</v>
      </c>
      <c r="AK53" s="305"/>
      <c r="AL53" s="304">
        <f t="shared" si="26"/>
        <v>0</v>
      </c>
      <c r="AM53" s="304">
        <f t="shared" si="48"/>
        <v>0</v>
      </c>
      <c r="AN53" s="304">
        <f t="shared" si="27"/>
        <v>0</v>
      </c>
      <c r="AP53" s="304">
        <f t="shared" si="38"/>
        <v>0</v>
      </c>
      <c r="AQ53" s="304">
        <f t="shared" si="39"/>
        <v>0</v>
      </c>
      <c r="AR53" s="304">
        <f t="shared" si="28"/>
        <v>0</v>
      </c>
      <c r="AS53" s="304">
        <f t="shared" si="29"/>
        <v>0</v>
      </c>
      <c r="AU53" s="304" t="e">
        <f>VLOOKUP(AR53,'Priority rules'!$U$15:$V$32,2,FALSE)</f>
        <v>#N/A</v>
      </c>
      <c r="AV53" s="304" t="e">
        <f t="shared" si="40"/>
        <v>#N/A</v>
      </c>
      <c r="AW53" s="304" t="b">
        <f t="shared" si="41"/>
        <v>0</v>
      </c>
      <c r="AX53" s="304">
        <f t="shared" si="42"/>
        <v>0</v>
      </c>
      <c r="AY53" s="304">
        <f t="shared" si="30"/>
        <v>0</v>
      </c>
      <c r="AZ53" s="304">
        <f t="shared" si="31"/>
        <v>0</v>
      </c>
      <c r="BA53" s="304">
        <f t="shared" si="50"/>
        <v>0</v>
      </c>
      <c r="BB53" s="304">
        <f t="shared" si="53"/>
        <v>0</v>
      </c>
      <c r="BC53" s="304">
        <f t="shared" si="32"/>
        <v>0</v>
      </c>
      <c r="BD53" s="304">
        <f t="shared" si="43"/>
        <v>0</v>
      </c>
      <c r="BE53" s="304">
        <f t="shared" si="44"/>
        <v>0</v>
      </c>
      <c r="BF53" s="304">
        <f t="shared" si="45"/>
        <v>0</v>
      </c>
      <c r="BG53" s="304">
        <f t="shared" si="33"/>
        <v>0</v>
      </c>
      <c r="BH53" s="304">
        <f t="shared" si="34"/>
        <v>0</v>
      </c>
      <c r="BI53" s="304">
        <f t="shared" si="35"/>
        <v>0</v>
      </c>
    </row>
    <row r="54" spans="2:61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89"/>
      <c r="M54" s="89"/>
      <c r="N54" s="115"/>
      <c r="O54" s="115"/>
      <c r="P54" s="115"/>
      <c r="Q54" s="68"/>
      <c r="R54" s="501"/>
      <c r="S54" s="304">
        <f>IF($AR$21,IF(W26&lt;&gt;0,W26,IF(X26&lt;&gt;0,X26,IF(Y26&lt;&gt;0,Y26,IF(Z26&lt;&gt;0,Z26,0)))),0)</f>
        <v>0</v>
      </c>
      <c r="T54" s="305">
        <f>IF(T53=0,0,IF(T53=V$26,S54,IF(T53=W$26,S55,IF(T53=X$26,S56,IF(T53=Y$26,S57,IF(T53=Z$26,0,0))))))</f>
        <v>0</v>
      </c>
      <c r="U54" s="305"/>
      <c r="V54" s="304">
        <f t="shared" si="22"/>
        <v>0</v>
      </c>
      <c r="W54" s="304">
        <f t="shared" si="46"/>
        <v>0</v>
      </c>
      <c r="X54" s="304">
        <f t="shared" si="23"/>
        <v>0</v>
      </c>
      <c r="AA54" s="304">
        <f>IF($AR$21,IF(AE26&lt;&gt;0,AE26,IF(AF26&lt;&gt;0,AF26,IF(AG26&lt;&gt;0,AG26,IF(AH26&lt;&gt;0,AH26,0)))),0)</f>
        <v>0</v>
      </c>
      <c r="AB54" s="305">
        <f>IF(AB53=0,0,IF(AB53=AD$26,AA54,IF(AB53=AE$26,AA55,IF(AB53=AF$26,AA56,IF(AB53=AG$26,AA57,IF(AB53=AH$26,0,0))))))</f>
        <v>0</v>
      </c>
      <c r="AC54" s="305"/>
      <c r="AD54" s="304">
        <f t="shared" si="24"/>
        <v>0</v>
      </c>
      <c r="AE54" s="304">
        <f t="shared" si="47"/>
        <v>0</v>
      </c>
      <c r="AF54" s="304">
        <f t="shared" si="25"/>
        <v>0</v>
      </c>
      <c r="AI54" s="304">
        <f>IF($AR$21,IF(AM26&lt;&gt;0,AM26,IF(AN26&lt;&gt;0,AN26,IF(AO26&lt;&gt;0,AO26,IF(AP26&lt;&gt;0,AP26,0)))),0)</f>
        <v>0</v>
      </c>
      <c r="AJ54" s="305">
        <f>IF(AJ53=0,0,IF(AJ53=AL$26,AI54,IF(AJ53=AM$26,AI55,IF(AJ53=AN$26,AI56,IF(AJ53=AO$26,AI57,IF(AJ53=AP$26,0,0))))))</f>
        <v>0</v>
      </c>
      <c r="AK54" s="305"/>
      <c r="AL54" s="304">
        <f t="shared" si="26"/>
        <v>0</v>
      </c>
      <c r="AM54" s="304">
        <f t="shared" si="48"/>
        <v>0</v>
      </c>
      <c r="AN54" s="304">
        <f t="shared" si="27"/>
        <v>0</v>
      </c>
      <c r="AP54" s="304">
        <f t="shared" si="38"/>
        <v>0</v>
      </c>
      <c r="AQ54" s="304">
        <f t="shared" si="39"/>
        <v>0</v>
      </c>
      <c r="AR54" s="304">
        <f t="shared" si="28"/>
        <v>0</v>
      </c>
      <c r="AS54" s="304">
        <f t="shared" si="29"/>
        <v>0</v>
      </c>
      <c r="AU54" s="304" t="e">
        <f>VLOOKUP(AR54,'Priority rules'!$U$15:$V$32,2,FALSE)</f>
        <v>#N/A</v>
      </c>
      <c r="AV54" s="304" t="e">
        <f t="shared" si="40"/>
        <v>#N/A</v>
      </c>
      <c r="AW54" s="304" t="b">
        <f t="shared" si="41"/>
        <v>0</v>
      </c>
      <c r="AX54" s="304">
        <f t="shared" si="42"/>
        <v>0</v>
      </c>
      <c r="AY54" s="304">
        <f t="shared" si="30"/>
        <v>0</v>
      </c>
      <c r="AZ54" s="304">
        <f t="shared" si="31"/>
        <v>0</v>
      </c>
      <c r="BA54" s="304">
        <f t="shared" si="50"/>
        <v>0</v>
      </c>
      <c r="BB54" s="304">
        <f t="shared" si="53"/>
        <v>0</v>
      </c>
      <c r="BC54" s="304">
        <f t="shared" si="32"/>
        <v>0</v>
      </c>
      <c r="BD54" s="304">
        <f t="shared" si="43"/>
        <v>0</v>
      </c>
      <c r="BE54" s="304">
        <f t="shared" si="44"/>
        <v>0</v>
      </c>
      <c r="BF54" s="304">
        <f t="shared" si="45"/>
        <v>0</v>
      </c>
      <c r="BG54" s="304">
        <f t="shared" si="33"/>
        <v>0</v>
      </c>
      <c r="BH54" s="304">
        <f t="shared" si="34"/>
        <v>0</v>
      </c>
      <c r="BI54" s="304">
        <f t="shared" si="35"/>
        <v>0</v>
      </c>
    </row>
    <row r="55" spans="2:61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89"/>
      <c r="M55" s="89"/>
      <c r="N55" s="115"/>
      <c r="O55" s="115"/>
      <c r="P55" s="115"/>
      <c r="Q55" s="68"/>
      <c r="R55" s="501"/>
      <c r="S55" s="304">
        <f>IF($AR$21,IF(X26&lt;&gt;0,X26,IF(Y26&lt;&gt;0,Y26,IF(Z26&lt;&gt;0,Z26,0))),0)</f>
        <v>0</v>
      </c>
      <c r="T55" s="305">
        <f>IF(T54=0,0,IF(T54=W$26,S55,IF(T54=X$26,S56,IF(T54=Y$26,S57,IF(T54=Z$26,0,0)))))</f>
        <v>0</v>
      </c>
      <c r="U55" s="305"/>
      <c r="V55" s="304">
        <f t="shared" si="22"/>
        <v>0</v>
      </c>
      <c r="W55" s="304">
        <f t="shared" si="46"/>
        <v>0</v>
      </c>
      <c r="X55" s="304">
        <f t="shared" si="23"/>
        <v>0</v>
      </c>
      <c r="AA55" s="304">
        <f>IF($AR$21,IF(AF26&lt;&gt;0,AF26,IF(AG26&lt;&gt;0,AG26,IF(AH26&lt;&gt;0,AH26,0))),0)</f>
        <v>0</v>
      </c>
      <c r="AB55" s="305">
        <f>IF(AB54=0,0,IF(AB54=AE$26,AA55,IF(AB54=AF$26,AA56,IF(AB54=AG$26,AA57,IF(AB54=AH$26,0,0)))))</f>
        <v>0</v>
      </c>
      <c r="AC55" s="305"/>
      <c r="AD55" s="304">
        <f t="shared" si="24"/>
        <v>0</v>
      </c>
      <c r="AE55" s="304">
        <f t="shared" si="47"/>
        <v>0</v>
      </c>
      <c r="AF55" s="304">
        <f t="shared" si="25"/>
        <v>0</v>
      </c>
      <c r="AI55" s="304">
        <f>IF($AR$21,IF(AN26&lt;&gt;0,AN26,IF(AO26&lt;&gt;0,AO26,IF(AP26&lt;&gt;0,AP26,0))),0)</f>
        <v>0</v>
      </c>
      <c r="AJ55" s="305">
        <f>IF(AJ54=0,0,IF(AJ54=AM$26,AI55,IF(AJ54=AN$26,AI56,IF(AJ54=AO$26,AI57,IF(AJ54=AP$26,0,0)))))</f>
        <v>0</v>
      </c>
      <c r="AK55" s="305"/>
      <c r="AL55" s="304">
        <f t="shared" si="26"/>
        <v>0</v>
      </c>
      <c r="AM55" s="304">
        <f t="shared" si="48"/>
        <v>0</v>
      </c>
      <c r="AN55" s="304">
        <f t="shared" si="27"/>
        <v>0</v>
      </c>
      <c r="AP55" s="304">
        <f t="shared" si="38"/>
        <v>0</v>
      </c>
      <c r="AQ55" s="304">
        <f t="shared" si="39"/>
        <v>0</v>
      </c>
      <c r="AR55" s="304">
        <f t="shared" si="28"/>
        <v>0</v>
      </c>
      <c r="AS55" s="304">
        <f t="shared" si="29"/>
        <v>0</v>
      </c>
      <c r="AU55" s="304" t="e">
        <f>VLOOKUP(AR55,'Priority rules'!$U$15:$V$32,2,FALSE)</f>
        <v>#N/A</v>
      </c>
      <c r="AV55" s="304" t="e">
        <f t="shared" si="40"/>
        <v>#N/A</v>
      </c>
      <c r="AW55" s="304" t="b">
        <f t="shared" si="41"/>
        <v>0</v>
      </c>
      <c r="AX55" s="304">
        <f t="shared" si="42"/>
        <v>0</v>
      </c>
      <c r="AY55" s="304">
        <f t="shared" si="30"/>
        <v>0</v>
      </c>
      <c r="AZ55" s="304">
        <f t="shared" si="31"/>
        <v>0</v>
      </c>
      <c r="BA55" s="304">
        <f t="shared" si="50"/>
        <v>0</v>
      </c>
      <c r="BB55" s="304">
        <f t="shared" si="53"/>
        <v>0</v>
      </c>
      <c r="BC55" s="304">
        <f t="shared" si="32"/>
        <v>0</v>
      </c>
      <c r="BD55" s="304">
        <f t="shared" si="43"/>
        <v>0</v>
      </c>
      <c r="BE55" s="304">
        <f t="shared" si="44"/>
        <v>0</v>
      </c>
      <c r="BF55" s="304">
        <f t="shared" si="45"/>
        <v>0</v>
      </c>
      <c r="BG55" s="304">
        <f t="shared" si="33"/>
        <v>0</v>
      </c>
      <c r="BH55" s="304">
        <f t="shared" si="34"/>
        <v>0</v>
      </c>
      <c r="BI55" s="304">
        <f t="shared" si="35"/>
        <v>0</v>
      </c>
    </row>
    <row r="56" spans="2:6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89"/>
      <c r="M56" s="89"/>
      <c r="N56" s="115"/>
      <c r="O56" s="115"/>
      <c r="P56" s="115"/>
      <c r="Q56" s="68"/>
      <c r="R56" s="501"/>
      <c r="S56" s="304">
        <f>IF($AR$21,IF(Y26&lt;&gt;0,Y26,IF(Z26&lt;&gt;0,Z26,0)),0)</f>
        <v>0</v>
      </c>
      <c r="T56" s="305">
        <f>IF(T55=0,0,IF(T55=X$26,S56,IF(T55=Y$26,S57,IF(T55=Z$26,0,0))))</f>
        <v>0</v>
      </c>
      <c r="U56" s="305"/>
      <c r="V56" s="304">
        <f t="shared" si="22"/>
        <v>0</v>
      </c>
      <c r="W56" s="304">
        <f t="shared" si="46"/>
        <v>0</v>
      </c>
      <c r="X56" s="304">
        <f t="shared" si="23"/>
        <v>0</v>
      </c>
      <c r="AA56" s="304">
        <f>IF($AR$21,IF(AG26&lt;&gt;0,AG26,IF(AH26&lt;&gt;0,AH26,0)),0)</f>
        <v>0</v>
      </c>
      <c r="AB56" s="305">
        <f>IF(AB55=0,0,IF(AB55=AF$26,AA56,IF(AB55=AG$26,AA57,IF(AB55=AH$26,0,0))))</f>
        <v>0</v>
      </c>
      <c r="AC56" s="305"/>
      <c r="AD56" s="304">
        <f t="shared" si="24"/>
        <v>0</v>
      </c>
      <c r="AE56" s="304">
        <f t="shared" si="47"/>
        <v>0</v>
      </c>
      <c r="AF56" s="304">
        <f t="shared" si="25"/>
        <v>0</v>
      </c>
      <c r="AI56" s="304">
        <f>IF($AR$21,IF(AO26&lt;&gt;0,AO26,IF(AP26&lt;&gt;0,AP26,0)),0)</f>
        <v>0</v>
      </c>
      <c r="AJ56" s="305">
        <f>IF(AJ55=0,0,IF(AJ55=AN$26,AI56,IF(AJ55=AO$26,AI57,IF(AJ55=AP$26,0,0))))</f>
        <v>0</v>
      </c>
      <c r="AK56" s="305"/>
      <c r="AL56" s="304">
        <f t="shared" si="26"/>
        <v>0</v>
      </c>
      <c r="AM56" s="304">
        <f t="shared" si="48"/>
        <v>0</v>
      </c>
      <c r="AN56" s="304">
        <f t="shared" si="27"/>
        <v>0</v>
      </c>
      <c r="AP56" s="304">
        <f t="shared" si="38"/>
        <v>0</v>
      </c>
      <c r="AQ56" s="304">
        <f t="shared" si="39"/>
        <v>0</v>
      </c>
      <c r="AR56" s="304">
        <f t="shared" si="28"/>
        <v>0</v>
      </c>
      <c r="AS56" s="304">
        <f t="shared" si="29"/>
        <v>0</v>
      </c>
      <c r="AU56" s="304" t="e">
        <f>VLOOKUP(AR56,'Priority rules'!$U$15:$V$32,2,FALSE)</f>
        <v>#N/A</v>
      </c>
      <c r="AV56" s="304" t="e">
        <f t="shared" si="40"/>
        <v>#N/A</v>
      </c>
      <c r="AW56" s="304" t="b">
        <f t="shared" si="41"/>
        <v>0</v>
      </c>
      <c r="AX56" s="304">
        <f t="shared" si="42"/>
        <v>0</v>
      </c>
      <c r="AY56" s="304">
        <f t="shared" si="30"/>
        <v>0</v>
      </c>
      <c r="AZ56" s="304">
        <f t="shared" si="31"/>
        <v>0</v>
      </c>
      <c r="BA56" s="304">
        <f t="shared" si="50"/>
        <v>0</v>
      </c>
      <c r="BB56" s="304">
        <f t="shared" si="53"/>
        <v>0</v>
      </c>
      <c r="BC56" s="304">
        <f t="shared" si="32"/>
        <v>0</v>
      </c>
      <c r="BD56" s="304">
        <f t="shared" si="43"/>
        <v>0</v>
      </c>
      <c r="BE56" s="304">
        <f t="shared" si="44"/>
        <v>0</v>
      </c>
      <c r="BF56" s="304">
        <f t="shared" si="45"/>
        <v>0</v>
      </c>
      <c r="BG56" s="304">
        <f t="shared" si="33"/>
        <v>0</v>
      </c>
      <c r="BH56" s="304">
        <f t="shared" si="34"/>
        <v>0</v>
      </c>
      <c r="BI56" s="304">
        <f t="shared" si="35"/>
        <v>0</v>
      </c>
    </row>
    <row r="57" spans="2:6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89"/>
      <c r="M57" s="89"/>
      <c r="N57" s="115"/>
      <c r="O57" s="115"/>
      <c r="P57" s="115"/>
      <c r="Q57" s="68"/>
      <c r="R57" s="501"/>
      <c r="S57" s="304">
        <f>IF($AR$21,IF(Z26&lt;&gt;0,Z26,0),0)</f>
        <v>0</v>
      </c>
      <c r="T57" s="305">
        <f>IF(T56=0,0,IF(T56=Y$26,S57,IF(T56=Z$26,0,0)))</f>
        <v>0</v>
      </c>
      <c r="U57" s="305"/>
      <c r="V57" s="304">
        <f t="shared" si="22"/>
        <v>0</v>
      </c>
      <c r="W57" s="304">
        <f t="shared" si="46"/>
        <v>0</v>
      </c>
      <c r="X57" s="304">
        <f t="shared" si="23"/>
        <v>0</v>
      </c>
      <c r="AA57" s="304">
        <f>IF($AR$21,IF(AH26&lt;&gt;0,AH26,0),0)</f>
        <v>0</v>
      </c>
      <c r="AB57" s="305">
        <f>IF(AB56=0,0,IF(AB56=AG$26,AA57,IF(AB56=AH$26,0,0)))</f>
        <v>0</v>
      </c>
      <c r="AC57" s="305"/>
      <c r="AD57" s="304">
        <f t="shared" si="24"/>
        <v>0</v>
      </c>
      <c r="AE57" s="304">
        <f t="shared" si="47"/>
        <v>0</v>
      </c>
      <c r="AF57" s="304">
        <f t="shared" si="25"/>
        <v>0</v>
      </c>
      <c r="AI57" s="304">
        <f>IF($AR$21,IF(AP26&lt;&gt;0,AP26,0),0)</f>
        <v>0</v>
      </c>
      <c r="AJ57" s="305">
        <f>IF(AJ56=0,0,IF(AJ56=AO$26,AI57,IF(AJ56=AP$26,0,0)))</f>
        <v>0</v>
      </c>
      <c r="AK57" s="305"/>
      <c r="AL57" s="304">
        <f t="shared" si="26"/>
        <v>0</v>
      </c>
      <c r="AM57" s="304">
        <f t="shared" si="48"/>
        <v>0</v>
      </c>
      <c r="AN57" s="304">
        <f t="shared" si="27"/>
        <v>0</v>
      </c>
      <c r="AP57" s="304">
        <f t="shared" si="38"/>
        <v>0</v>
      </c>
      <c r="AQ57" s="304">
        <f t="shared" si="39"/>
        <v>0</v>
      </c>
      <c r="AR57" s="304">
        <f t="shared" si="28"/>
        <v>0</v>
      </c>
      <c r="AS57" s="304">
        <f t="shared" si="29"/>
        <v>0</v>
      </c>
      <c r="AU57" s="304" t="e">
        <f>VLOOKUP(AR57,'Priority rules'!$U$15:$V$32,2,FALSE)</f>
        <v>#N/A</v>
      </c>
      <c r="AV57" s="304" t="e">
        <f t="shared" si="40"/>
        <v>#N/A</v>
      </c>
      <c r="AW57" s="304" t="b">
        <f t="shared" si="41"/>
        <v>0</v>
      </c>
      <c r="AX57" s="304">
        <f t="shared" si="42"/>
        <v>0</v>
      </c>
      <c r="AY57" s="304">
        <f t="shared" si="30"/>
        <v>0</v>
      </c>
      <c r="AZ57" s="304">
        <f t="shared" si="31"/>
        <v>0</v>
      </c>
      <c r="BA57" s="304">
        <f t="shared" si="50"/>
        <v>0</v>
      </c>
      <c r="BB57" s="304">
        <f t="shared" si="53"/>
        <v>0</v>
      </c>
      <c r="BC57" s="304">
        <f t="shared" si="32"/>
        <v>0</v>
      </c>
      <c r="BD57" s="304">
        <f t="shared" si="43"/>
        <v>0</v>
      </c>
      <c r="BE57" s="304">
        <f t="shared" si="44"/>
        <v>0</v>
      </c>
      <c r="BF57" s="304">
        <f t="shared" si="45"/>
        <v>0</v>
      </c>
      <c r="BG57" s="304">
        <f t="shared" si="33"/>
        <v>0</v>
      </c>
      <c r="BH57" s="304">
        <f t="shared" si="34"/>
        <v>0</v>
      </c>
      <c r="BI57" s="304">
        <f t="shared" si="35"/>
        <v>0</v>
      </c>
    </row>
    <row r="58" spans="2:61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89"/>
      <c r="M58" s="89"/>
      <c r="N58" s="115"/>
      <c r="O58" s="115"/>
      <c r="P58" s="115"/>
      <c r="Q58" s="68"/>
      <c r="R58" s="501"/>
      <c r="S58" s="304">
        <f>IF($AR$21,IF(S27&lt;&gt;0,S27,IF(U27&lt;&gt;0,U27,IF(V27&lt;&gt;0,V27,IF(W27&lt;&gt;0,W27,IF(X27&lt;&gt;0,X27,IF(Y27&lt;&gt;0,Y27,IF(Z27&lt;&gt;0,Z27,0))))))),0)</f>
        <v>0</v>
      </c>
      <c r="T58" s="305">
        <f>S58</f>
        <v>0</v>
      </c>
      <c r="U58" s="305"/>
      <c r="V58" s="304">
        <f t="shared" si="22"/>
        <v>0</v>
      </c>
      <c r="W58" s="304">
        <f t="shared" si="46"/>
        <v>0</v>
      </c>
      <c r="X58" s="304">
        <f t="shared" si="23"/>
        <v>0</v>
      </c>
      <c r="AA58" s="304">
        <f>IF($AR$21,IF(AA27&lt;&gt;0,AA27,IF(AC27&lt;&gt;0,AC27,IF(AD27&lt;&gt;0,AD27,IF(AE27&lt;&gt;0,AE27,IF(AF27&lt;&gt;0,AF27,IF(AG27&lt;&gt;0,AG27,IF(AH27&lt;&gt;0,AH27,0))))))),0)</f>
        <v>0</v>
      </c>
      <c r="AB58" s="305">
        <f>AA58</f>
        <v>0</v>
      </c>
      <c r="AC58" s="305"/>
      <c r="AD58" s="304">
        <f t="shared" si="24"/>
        <v>0</v>
      </c>
      <c r="AE58" s="304">
        <f t="shared" si="47"/>
        <v>0</v>
      </c>
      <c r="AF58" s="304">
        <f t="shared" si="25"/>
        <v>0</v>
      </c>
      <c r="AI58" s="304">
        <f>IF($AR$21,IF(AI27&lt;&gt;0,AI27,IF(AK27&lt;&gt;0,AK27,IF(AL27&lt;&gt;0,AL27,IF(AM27&lt;&gt;0,AM27,IF(AN27&lt;&gt;0,AN27,IF(AO27&lt;&gt;0,AO27,IF(AP27&lt;&gt;0,AP27,0))))))),0)</f>
        <v>0</v>
      </c>
      <c r="AJ58" s="305">
        <f>AI58</f>
        <v>0</v>
      </c>
      <c r="AK58" s="305"/>
      <c r="AL58" s="304">
        <f t="shared" si="26"/>
        <v>0</v>
      </c>
      <c r="AM58" s="304">
        <f t="shared" si="48"/>
        <v>0</v>
      </c>
      <c r="AN58" s="304">
        <f t="shared" si="27"/>
        <v>0</v>
      </c>
      <c r="AP58" s="304">
        <f t="shared" si="38"/>
        <v>0</v>
      </c>
      <c r="AQ58" s="304">
        <f t="shared" si="39"/>
        <v>0</v>
      </c>
      <c r="AR58" s="304">
        <f t="shared" si="28"/>
        <v>0</v>
      </c>
      <c r="AS58" s="304">
        <f t="shared" si="29"/>
        <v>0</v>
      </c>
      <c r="AU58" s="304" t="e">
        <f>VLOOKUP(AR58,'Priority rules'!$U$15:$V$32,2,FALSE)</f>
        <v>#N/A</v>
      </c>
      <c r="AV58" s="304" t="e">
        <f t="shared" si="40"/>
        <v>#N/A</v>
      </c>
      <c r="AW58" s="304" t="b">
        <f t="shared" si="41"/>
        <v>0</v>
      </c>
      <c r="AX58" s="304">
        <f t="shared" si="42"/>
        <v>0</v>
      </c>
      <c r="AY58" s="304">
        <f t="shared" si="30"/>
        <v>0</v>
      </c>
      <c r="AZ58" s="304">
        <f t="shared" si="31"/>
        <v>0</v>
      </c>
      <c r="BA58" s="304">
        <f t="shared" si="50"/>
        <v>0</v>
      </c>
      <c r="BB58" s="304">
        <f t="shared" si="53"/>
        <v>0</v>
      </c>
      <c r="BC58" s="304">
        <f t="shared" si="32"/>
        <v>0</v>
      </c>
      <c r="BD58" s="304">
        <f t="shared" si="43"/>
        <v>0</v>
      </c>
      <c r="BE58" s="304">
        <f t="shared" si="44"/>
        <v>0</v>
      </c>
      <c r="BF58" s="304">
        <f t="shared" si="45"/>
        <v>0</v>
      </c>
      <c r="BG58" s="304">
        <f t="shared" si="33"/>
        <v>0</v>
      </c>
      <c r="BH58" s="304">
        <f t="shared" si="34"/>
        <v>0</v>
      </c>
      <c r="BI58" s="304">
        <f t="shared" si="35"/>
        <v>0</v>
      </c>
    </row>
    <row r="59" spans="2:6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89"/>
      <c r="M59" s="89"/>
      <c r="N59" s="115"/>
      <c r="O59" s="115"/>
      <c r="P59" s="115"/>
      <c r="Q59" s="68"/>
      <c r="R59" s="501"/>
      <c r="S59" s="304">
        <f>IF($AR$21,IF(U27&lt;&gt;0,U27,IF(V27&lt;&gt;0,V27,IF(W27&lt;&gt;0,W27,IF(X27&lt;&gt;0,X27,IF(Y27&lt;&gt;0,Y27,IF(Z27&lt;&gt;0,Z27,0)))))),0)</f>
        <v>0</v>
      </c>
      <c r="T59" s="305">
        <f>IF(T58=0,0,IF(T58=S$27,S59,IF(T58=U$27,S60,IF(T58=V$27,S61,IF(T58=W$27,S62,IF(T58=X$27,S63,IF(T58=Y$27,S64,IF(T58=Z$27,0,0))))))))</f>
        <v>0</v>
      </c>
      <c r="U59" s="305"/>
      <c r="V59" s="304">
        <f t="shared" si="22"/>
        <v>0</v>
      </c>
      <c r="W59" s="304">
        <f t="shared" si="46"/>
        <v>0</v>
      </c>
      <c r="X59" s="304">
        <f t="shared" si="23"/>
        <v>0</v>
      </c>
      <c r="AA59" s="304">
        <f>IF($AR$21,IF(AC27&lt;&gt;0,AC27,IF(AD27&lt;&gt;0,AD27,IF(AE27&lt;&gt;0,AE27,IF(AF27&lt;&gt;0,AF27,IF(AG27&lt;&gt;0,AG27,IF(AH27&lt;&gt;0,AH27,0)))))),0)</f>
        <v>0</v>
      </c>
      <c r="AB59" s="305">
        <f>IF(AB58=0,0,IF(AB58=AA$27,AA59,IF(AB58=AC$27,AA60,IF(AB58=AD$27,AA61,IF(AB58=AE$27,AA62,IF(AB58=AF$27,AA63,IF(AB58=AG$27,AA64,IF(AB58=AH$27,0,0))))))))</f>
        <v>0</v>
      </c>
      <c r="AC59" s="305"/>
      <c r="AD59" s="304">
        <f t="shared" si="24"/>
        <v>0</v>
      </c>
      <c r="AE59" s="304">
        <f t="shared" si="47"/>
        <v>0</v>
      </c>
      <c r="AF59" s="304">
        <f t="shared" si="25"/>
        <v>0</v>
      </c>
      <c r="AI59" s="304">
        <f>IF($AR$21,IF(AK27&lt;&gt;0,AK27,IF(AL27&lt;&gt;0,AL27,IF(AM27&lt;&gt;0,AM27,IF(AN27&lt;&gt;0,AN27,IF(AO27&lt;&gt;0,AO27,IF(AP27&lt;&gt;0,AP27,0)))))),0)</f>
        <v>0</v>
      </c>
      <c r="AJ59" s="305">
        <f>IF(AJ58=0,0,IF(AJ58=AI$27,AI59,IF(AJ58=AK$27,AI60,IF(AJ58=AL$27,AI61,IF(AJ58=AM$27,AI62,IF(AJ58=AN$27,AI63,IF(AJ58=AO$27,AI64,IF(AJ58=AP$27,0,0))))))))</f>
        <v>0</v>
      </c>
      <c r="AK59" s="305"/>
      <c r="AL59" s="304">
        <f t="shared" si="26"/>
        <v>0</v>
      </c>
      <c r="AM59" s="304">
        <f t="shared" si="48"/>
        <v>0</v>
      </c>
      <c r="AN59" s="304">
        <f t="shared" si="27"/>
        <v>0</v>
      </c>
      <c r="AP59" s="304">
        <f t="shared" si="38"/>
        <v>0</v>
      </c>
      <c r="AQ59" s="304">
        <f t="shared" si="39"/>
        <v>0</v>
      </c>
      <c r="AR59" s="304">
        <f t="shared" si="28"/>
        <v>0</v>
      </c>
      <c r="AS59" s="304">
        <f t="shared" si="29"/>
        <v>0</v>
      </c>
      <c r="AU59" s="304" t="e">
        <f>VLOOKUP(AR59,'Priority rules'!$U$15:$V$32,2,FALSE)</f>
        <v>#N/A</v>
      </c>
      <c r="AV59" s="304" t="e">
        <f t="shared" si="40"/>
        <v>#N/A</v>
      </c>
      <c r="AW59" s="304" t="b">
        <f t="shared" si="41"/>
        <v>0</v>
      </c>
      <c r="AX59" s="304">
        <f t="shared" si="42"/>
        <v>0</v>
      </c>
      <c r="AY59" s="304">
        <f t="shared" si="30"/>
        <v>0</v>
      </c>
      <c r="AZ59" s="304">
        <f t="shared" si="31"/>
        <v>0</v>
      </c>
      <c r="BA59" s="304">
        <f t="shared" si="50"/>
        <v>0</v>
      </c>
      <c r="BB59" s="304">
        <f t="shared" si="53"/>
        <v>0</v>
      </c>
      <c r="BC59" s="304">
        <f t="shared" si="32"/>
        <v>0</v>
      </c>
      <c r="BD59" s="304">
        <f t="shared" si="43"/>
        <v>0</v>
      </c>
      <c r="BE59" s="304">
        <f t="shared" si="44"/>
        <v>0</v>
      </c>
      <c r="BF59" s="304">
        <f t="shared" si="45"/>
        <v>0</v>
      </c>
      <c r="BG59" s="304">
        <f t="shared" si="33"/>
        <v>0</v>
      </c>
      <c r="BH59" s="304">
        <f t="shared" si="34"/>
        <v>0</v>
      </c>
      <c r="BI59" s="304">
        <f t="shared" si="35"/>
        <v>0</v>
      </c>
    </row>
    <row r="60" spans="2:61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89"/>
      <c r="M60" s="89"/>
      <c r="N60" s="115"/>
      <c r="O60" s="115"/>
      <c r="P60" s="115"/>
      <c r="Q60" s="68"/>
      <c r="R60" s="501"/>
      <c r="S60" s="304">
        <f>IF($AR$21,IF(V27&lt;&gt;0,V27,IF(W27&lt;&gt;0,W27,IF(X27&lt;&gt;0,X27,IF(Y27&lt;&gt;0,Y27,IF(Z27&lt;&gt;0,Z27,0))))),0)</f>
        <v>0</v>
      </c>
      <c r="T60" s="305">
        <f>IF(T59=0,0,IF(T59=U$27,S60,IF(T59=V$27,S61,IF(T59=W$27,S62,IF(T59=X$27,S63,IF(T59=Y$27,S64,IF(T59=Z$27,0,0)))))))</f>
        <v>0</v>
      </c>
      <c r="U60" s="305"/>
      <c r="V60" s="304">
        <f t="shared" si="22"/>
        <v>0</v>
      </c>
      <c r="W60" s="304">
        <f t="shared" si="46"/>
        <v>0</v>
      </c>
      <c r="X60" s="304">
        <f t="shared" si="23"/>
        <v>0</v>
      </c>
      <c r="AA60" s="304">
        <f>IF($AR$21,IF(AD27&lt;&gt;0,AD27,IF(AE27&lt;&gt;0,AE27,IF(AF27&lt;&gt;0,AF27,IF(AG27&lt;&gt;0,AG27,IF(AH27&lt;&gt;0,AH27,0))))),0)</f>
        <v>0</v>
      </c>
      <c r="AB60" s="305">
        <f>IF(AB59=0,0,IF(AB59=AC$27,AA60,IF(AB59=AD$27,AA61,IF(AB59=AE$27,AA62,IF(AB59=AF$27,AA63,IF(AB59=AG$27,AA64,IF(AB59=AH$27,0,0)))))))</f>
        <v>0</v>
      </c>
      <c r="AC60" s="305"/>
      <c r="AD60" s="304">
        <f t="shared" si="24"/>
        <v>0</v>
      </c>
      <c r="AE60" s="304">
        <f t="shared" si="47"/>
        <v>0</v>
      </c>
      <c r="AF60" s="304">
        <f t="shared" si="25"/>
        <v>0</v>
      </c>
      <c r="AI60" s="304">
        <f>IF($AR$21,IF(AL27&lt;&gt;0,AL27,IF(AM27&lt;&gt;0,AM27,IF(AN27&lt;&gt;0,AN27,IF(AO27&lt;&gt;0,AO27,IF(AP27&lt;&gt;0,AP27,0))))),0)</f>
        <v>0</v>
      </c>
      <c r="AJ60" s="305">
        <f>IF(AJ59=0,0,IF(AJ59=AK$27,AI60,IF(AJ59=AL$27,AI61,IF(AJ59=AM$27,AI62,IF(AJ59=AN$27,AI63,IF(AJ59=AO$27,AI64,IF(AJ59=AP$27,0,0)))))))</f>
        <v>0</v>
      </c>
      <c r="AK60" s="305"/>
      <c r="AL60" s="304">
        <f t="shared" si="26"/>
        <v>0</v>
      </c>
      <c r="AM60" s="304">
        <f t="shared" si="48"/>
        <v>0</v>
      </c>
      <c r="AN60" s="304">
        <f t="shared" si="27"/>
        <v>0</v>
      </c>
      <c r="AP60" s="304">
        <f t="shared" si="38"/>
        <v>0</v>
      </c>
      <c r="AQ60" s="304">
        <f t="shared" si="39"/>
        <v>0</v>
      </c>
      <c r="AR60" s="304">
        <f t="shared" si="28"/>
        <v>0</v>
      </c>
      <c r="AS60" s="304">
        <f t="shared" si="29"/>
        <v>0</v>
      </c>
      <c r="AU60" s="304" t="e">
        <f>VLOOKUP(AR60,'Priority rules'!$U$15:$V$32,2,FALSE)</f>
        <v>#N/A</v>
      </c>
      <c r="AV60" s="304" t="e">
        <f t="shared" si="40"/>
        <v>#N/A</v>
      </c>
      <c r="AW60" s="304" t="b">
        <f t="shared" si="41"/>
        <v>0</v>
      </c>
      <c r="AX60" s="304">
        <f t="shared" si="42"/>
        <v>0</v>
      </c>
      <c r="AY60" s="304">
        <f t="shared" si="30"/>
        <v>0</v>
      </c>
      <c r="AZ60" s="304">
        <f t="shared" si="31"/>
        <v>0</v>
      </c>
      <c r="BA60" s="304">
        <f t="shared" si="50"/>
        <v>0</v>
      </c>
      <c r="BB60" s="304">
        <f t="shared" si="53"/>
        <v>0</v>
      </c>
      <c r="BC60" s="304">
        <f t="shared" si="32"/>
        <v>0</v>
      </c>
      <c r="BD60" s="304">
        <f t="shared" si="43"/>
        <v>0</v>
      </c>
      <c r="BE60" s="304">
        <f t="shared" si="44"/>
        <v>0</v>
      </c>
      <c r="BF60" s="304">
        <f t="shared" si="45"/>
        <v>0</v>
      </c>
      <c r="BG60" s="304">
        <f t="shared" si="33"/>
        <v>0</v>
      </c>
      <c r="BH60" s="304">
        <f t="shared" si="34"/>
        <v>0</v>
      </c>
      <c r="BI60" s="304">
        <f t="shared" si="35"/>
        <v>0</v>
      </c>
    </row>
    <row r="61" spans="2:61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89"/>
      <c r="M61" s="89"/>
      <c r="N61" s="115"/>
      <c r="O61" s="115"/>
      <c r="P61" s="115"/>
      <c r="Q61" s="68"/>
      <c r="R61" s="501"/>
      <c r="S61" s="304">
        <f>IF($AR$21,IF(W27&lt;&gt;0,W27,IF(X27&lt;&gt;0,X27,IF(Y27&lt;&gt;0,Y27,IF(Z27&lt;&gt;0,Z27,0)))),0)</f>
        <v>0</v>
      </c>
      <c r="T61" s="305">
        <f>IF(T60=0,0,IF(T60=V$27,S61,IF(T60=W$27,S62,IF(T60=X$27,S63,IF(T60=Y$27,S64,IF(T60=Z$27,0,0))))))</f>
        <v>0</v>
      </c>
      <c r="U61" s="305"/>
      <c r="V61" s="304">
        <f t="shared" si="22"/>
        <v>0</v>
      </c>
      <c r="W61" s="304">
        <f t="shared" si="46"/>
        <v>0</v>
      </c>
      <c r="X61" s="304">
        <f t="shared" si="23"/>
        <v>0</v>
      </c>
      <c r="AA61" s="304">
        <f>IF($AR$21,IF(AE27&lt;&gt;0,AE27,IF(AF27&lt;&gt;0,AF27,IF(AG27&lt;&gt;0,AG27,IF(AH27&lt;&gt;0,AH27,0)))),0)</f>
        <v>0</v>
      </c>
      <c r="AB61" s="305">
        <f>IF(AB60=0,0,IF(AB60=AD$27,AA61,IF(AB60=AE$27,AA62,IF(AB60=AF$27,AA63,IF(AB60=AG$27,AA64,IF(AB60=AH$27,0,0))))))</f>
        <v>0</v>
      </c>
      <c r="AC61" s="305"/>
      <c r="AD61" s="304">
        <f t="shared" si="24"/>
        <v>0</v>
      </c>
      <c r="AE61" s="304">
        <f t="shared" si="47"/>
        <v>0</v>
      </c>
      <c r="AF61" s="304">
        <f t="shared" si="25"/>
        <v>0</v>
      </c>
      <c r="AI61" s="304">
        <f>IF($AR$21,IF(AM27&lt;&gt;0,AM27,IF(AN27&lt;&gt;0,AN27,IF(AO27&lt;&gt;0,AO27,IF(AP27&lt;&gt;0,AP27,0)))),0)</f>
        <v>0</v>
      </c>
      <c r="AJ61" s="305">
        <f>IF(AJ60=0,0,IF(AJ60=AL$27,AI61,IF(AJ60=AM$27,AI62,IF(AJ60=AN$27,AI63,IF(AJ60=AO$27,AI64,IF(AJ60=AP$27,0,0))))))</f>
        <v>0</v>
      </c>
      <c r="AK61" s="305"/>
      <c r="AL61" s="304">
        <f t="shared" si="26"/>
        <v>0</v>
      </c>
      <c r="AM61" s="304">
        <f t="shared" si="48"/>
        <v>0</v>
      </c>
      <c r="AN61" s="304">
        <f t="shared" si="27"/>
        <v>0</v>
      </c>
      <c r="AP61" s="304">
        <f t="shared" si="38"/>
        <v>0</v>
      </c>
      <c r="AQ61" s="304">
        <f t="shared" si="39"/>
        <v>0</v>
      </c>
      <c r="AR61" s="304">
        <f t="shared" si="28"/>
        <v>0</v>
      </c>
      <c r="AS61" s="304">
        <f t="shared" si="29"/>
        <v>0</v>
      </c>
      <c r="AU61" s="304" t="e">
        <f>VLOOKUP(AR61,'Priority rules'!$U$15:$V$32,2,FALSE)</f>
        <v>#N/A</v>
      </c>
      <c r="AV61" s="304" t="e">
        <f t="shared" si="40"/>
        <v>#N/A</v>
      </c>
      <c r="AW61" s="304" t="b">
        <f t="shared" si="41"/>
        <v>0</v>
      </c>
      <c r="AX61" s="304">
        <f t="shared" si="42"/>
        <v>0</v>
      </c>
      <c r="AY61" s="304">
        <f t="shared" si="30"/>
        <v>0</v>
      </c>
      <c r="AZ61" s="304">
        <f t="shared" si="31"/>
        <v>0</v>
      </c>
      <c r="BA61" s="304">
        <f t="shared" si="50"/>
        <v>0</v>
      </c>
      <c r="BB61" s="304">
        <f t="shared" si="53"/>
        <v>0</v>
      </c>
      <c r="BC61" s="304">
        <f t="shared" si="32"/>
        <v>0</v>
      </c>
      <c r="BD61" s="304">
        <f t="shared" si="43"/>
        <v>0</v>
      </c>
      <c r="BE61" s="304">
        <f t="shared" si="44"/>
        <v>0</v>
      </c>
      <c r="BF61" s="304">
        <f t="shared" si="45"/>
        <v>0</v>
      </c>
      <c r="BG61" s="304">
        <f t="shared" si="33"/>
        <v>0</v>
      </c>
      <c r="BH61" s="304">
        <f t="shared" si="34"/>
        <v>0</v>
      </c>
      <c r="BI61" s="304">
        <f t="shared" si="35"/>
        <v>0</v>
      </c>
    </row>
    <row r="62" spans="2:61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89"/>
      <c r="M62" s="89"/>
      <c r="N62" s="115"/>
      <c r="O62" s="115"/>
      <c r="P62" s="115"/>
      <c r="Q62" s="68"/>
      <c r="R62" s="501"/>
      <c r="S62" s="304">
        <f>IF($AR$21,IF(X27&lt;&gt;0,X27,IF(Y27&lt;&gt;0,Y27,IF(Z27&lt;&gt;0,Z27,0))),0)</f>
        <v>0</v>
      </c>
      <c r="T62" s="305">
        <f>IF(T61=0,0,IF(T61=W$27,S62,IF(T61=X$27,S63,IF(T61=Y$27,S64,IF(T61=Z$27,0,0)))))</f>
        <v>0</v>
      </c>
      <c r="U62" s="305"/>
      <c r="V62" s="304">
        <f t="shared" si="22"/>
        <v>0</v>
      </c>
      <c r="W62" s="304">
        <f t="shared" si="46"/>
        <v>0</v>
      </c>
      <c r="X62" s="304">
        <f t="shared" si="23"/>
        <v>0</v>
      </c>
      <c r="AA62" s="304">
        <f>IF($AR$21,IF(AF27&lt;&gt;0,AF27,IF(AG27&lt;&gt;0,AG27,IF(AH27&lt;&gt;0,AH27,0))),0)</f>
        <v>0</v>
      </c>
      <c r="AB62" s="305">
        <f>IF(AB61=0,0,IF(AB61=AE$27,AA62,IF(AB61=AF$27,AA63,IF(AB61=AG$27,AA64,IF(AB61=AH$27,0,0)))))</f>
        <v>0</v>
      </c>
      <c r="AC62" s="305"/>
      <c r="AD62" s="304">
        <f t="shared" si="24"/>
        <v>0</v>
      </c>
      <c r="AE62" s="304">
        <f t="shared" si="47"/>
        <v>0</v>
      </c>
      <c r="AF62" s="304">
        <f t="shared" si="25"/>
        <v>0</v>
      </c>
      <c r="AI62" s="304">
        <f>IF($AR$21,IF(AN27&lt;&gt;0,AN27,IF(AO27&lt;&gt;0,AO27,IF(AP27&lt;&gt;0,AP27,0))),0)</f>
        <v>0</v>
      </c>
      <c r="AJ62" s="305">
        <f>IF(AJ61=0,0,IF(AJ61=AM$27,AI62,IF(AJ61=AN$27,AI63,IF(AJ61=AO$27,AI64,IF(AJ61=AP$27,0,0)))))</f>
        <v>0</v>
      </c>
      <c r="AK62" s="305"/>
      <c r="AL62" s="304">
        <f t="shared" si="26"/>
        <v>0</v>
      </c>
      <c r="AM62" s="304">
        <f t="shared" si="48"/>
        <v>0</v>
      </c>
      <c r="AN62" s="304">
        <f t="shared" si="27"/>
        <v>0</v>
      </c>
      <c r="AP62" s="304">
        <f t="shared" si="38"/>
        <v>0</v>
      </c>
      <c r="AQ62" s="304">
        <f t="shared" si="39"/>
        <v>0</v>
      </c>
      <c r="AR62" s="304">
        <f t="shared" ref="AR62:AR93" si="54">LARGE($AP$30:$AP$155,ROW()-ROW($AP$30)+1)</f>
        <v>0</v>
      </c>
      <c r="AS62" s="304">
        <f t="shared" ref="AS62:AS93" si="55">VLOOKUP(AR62,$AP$30:$AQ$155,2,FALSE)</f>
        <v>0</v>
      </c>
      <c r="AU62" s="304" t="e">
        <f>VLOOKUP(AR62,'Priority rules'!$U$15:$V$32,2,FALSE)</f>
        <v>#N/A</v>
      </c>
      <c r="AV62" s="304" t="e">
        <f t="shared" si="40"/>
        <v>#N/A</v>
      </c>
      <c r="AW62" s="304" t="b">
        <f t="shared" si="41"/>
        <v>0</v>
      </c>
      <c r="AX62" s="304">
        <f t="shared" si="42"/>
        <v>0</v>
      </c>
      <c r="AY62" s="304">
        <f t="shared" ref="AY62:AY93" si="56">LARGE($AX$30:$AX$155,ROW()-ROW($AX$30)+1)</f>
        <v>0</v>
      </c>
      <c r="AZ62" s="304">
        <f t="shared" ref="AZ62:AZ93" si="57">VLOOKUP(AY62,$AP$30:$AQ$155,2,FALSE)</f>
        <v>0</v>
      </c>
      <c r="BA62" s="304">
        <f t="shared" si="50"/>
        <v>0</v>
      </c>
      <c r="BB62" s="304">
        <f t="shared" si="53"/>
        <v>0</v>
      </c>
      <c r="BC62" s="304">
        <f t="shared" ref="BC62:BC93" si="58">VLOOKUP(BB62,$AP$30:$AQ$155,2,FALSE)</f>
        <v>0</v>
      </c>
      <c r="BD62" s="304">
        <f t="shared" si="43"/>
        <v>0</v>
      </c>
      <c r="BE62" s="304">
        <f t="shared" si="44"/>
        <v>0</v>
      </c>
      <c r="BF62" s="304">
        <f t="shared" si="45"/>
        <v>0</v>
      </c>
      <c r="BG62" s="304">
        <f t="shared" ref="BG62:BG93" si="59">LARGE($BD$30:$BD$155,ROW()-ROW($BD$30)+1)</f>
        <v>0</v>
      </c>
      <c r="BH62" s="304">
        <f t="shared" ref="BH62:BH93" si="60">LARGE($BE$30:$BE$155,ROW()-ROW($BE$30)+1)</f>
        <v>0</v>
      </c>
      <c r="BI62" s="304">
        <f t="shared" ref="BI62:BI93" si="61">LARGE($BF$30:$BF$155,ROW()-ROW($BF$30)+1)</f>
        <v>0</v>
      </c>
    </row>
    <row r="63" spans="2:61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89"/>
      <c r="M63" s="89"/>
      <c r="N63" s="115"/>
      <c r="O63" s="115"/>
      <c r="P63" s="115"/>
      <c r="Q63" s="68"/>
      <c r="R63" s="501"/>
      <c r="S63" s="304">
        <f>IF($AR$21,IF(Y27&lt;&gt;0,Y27,IF(Z27&lt;&gt;0,Z27,0)),0)</f>
        <v>0</v>
      </c>
      <c r="T63" s="305">
        <f>IF(T62=0,0,IF(T62=X$27,S63,IF(T62=Y$27,S64,IF(T62=Z$27,0,0))))</f>
        <v>0</v>
      </c>
      <c r="U63" s="305"/>
      <c r="V63" s="304">
        <f t="shared" si="22"/>
        <v>0</v>
      </c>
      <c r="W63" s="304">
        <f t="shared" si="46"/>
        <v>0</v>
      </c>
      <c r="X63" s="304">
        <f t="shared" si="23"/>
        <v>0</v>
      </c>
      <c r="AA63" s="304">
        <f>IF($AR$21,IF(AG27&lt;&gt;0,AG27,IF(AH27&lt;&gt;0,AH27,0)),0)</f>
        <v>0</v>
      </c>
      <c r="AB63" s="305">
        <f>IF(AB62=0,0,IF(AB62=AF$27,AA63,IF(AB62=AG$27,AA64,IF(AB62=AH$27,0,0))))</f>
        <v>0</v>
      </c>
      <c r="AC63" s="305"/>
      <c r="AD63" s="304">
        <f t="shared" si="24"/>
        <v>0</v>
      </c>
      <c r="AE63" s="304">
        <f t="shared" si="47"/>
        <v>0</v>
      </c>
      <c r="AF63" s="304">
        <f t="shared" si="25"/>
        <v>0</v>
      </c>
      <c r="AI63" s="304">
        <f>IF($AR$21,IF(AO27&lt;&gt;0,AO27,IF(AP27&lt;&gt;0,AP27,0)),0)</f>
        <v>0</v>
      </c>
      <c r="AJ63" s="305">
        <f>IF(AJ62=0,0,IF(AJ62=AN$27,AI63,IF(AJ62=AO$27,AI64,IF(AJ62=AP$27,0,0))))</f>
        <v>0</v>
      </c>
      <c r="AK63" s="305"/>
      <c r="AL63" s="304">
        <f t="shared" si="26"/>
        <v>0</v>
      </c>
      <c r="AM63" s="304">
        <f t="shared" si="48"/>
        <v>0</v>
      </c>
      <c r="AN63" s="304">
        <f t="shared" si="27"/>
        <v>0</v>
      </c>
      <c r="AP63" s="304">
        <f t="shared" si="38"/>
        <v>0</v>
      </c>
      <c r="AQ63" s="304">
        <f t="shared" si="39"/>
        <v>0</v>
      </c>
      <c r="AR63" s="304">
        <f t="shared" si="54"/>
        <v>0</v>
      </c>
      <c r="AS63" s="304">
        <f t="shared" si="55"/>
        <v>0</v>
      </c>
      <c r="AU63" s="304" t="e">
        <f>VLOOKUP(AR63,'Priority rules'!$U$15:$V$32,2,FALSE)</f>
        <v>#N/A</v>
      </c>
      <c r="AV63" s="304" t="e">
        <f t="shared" si="40"/>
        <v>#N/A</v>
      </c>
      <c r="AW63" s="304" t="b">
        <f t="shared" si="41"/>
        <v>0</v>
      </c>
      <c r="AX63" s="304">
        <f t="shared" si="42"/>
        <v>0</v>
      </c>
      <c r="AY63" s="304">
        <f t="shared" si="56"/>
        <v>0</v>
      </c>
      <c r="AZ63" s="304">
        <f t="shared" si="57"/>
        <v>0</v>
      </c>
      <c r="BA63" s="304">
        <f t="shared" si="50"/>
        <v>0</v>
      </c>
      <c r="BB63" s="304">
        <f t="shared" si="53"/>
        <v>0</v>
      </c>
      <c r="BC63" s="304">
        <f t="shared" si="58"/>
        <v>0</v>
      </c>
      <c r="BD63" s="304">
        <f t="shared" si="43"/>
        <v>0</v>
      </c>
      <c r="BE63" s="304">
        <f t="shared" si="44"/>
        <v>0</v>
      </c>
      <c r="BF63" s="304">
        <f t="shared" si="45"/>
        <v>0</v>
      </c>
      <c r="BG63" s="304">
        <f t="shared" si="59"/>
        <v>0</v>
      </c>
      <c r="BH63" s="304">
        <f t="shared" si="60"/>
        <v>0</v>
      </c>
      <c r="BI63" s="304">
        <f t="shared" si="61"/>
        <v>0</v>
      </c>
    </row>
    <row r="64" spans="2:61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89"/>
      <c r="M64" s="89"/>
      <c r="N64" s="115"/>
      <c r="O64" s="115"/>
      <c r="P64" s="115"/>
      <c r="Q64" s="68"/>
      <c r="R64" s="501"/>
      <c r="S64" s="304">
        <f>IF($AR$21,IF(Z27&lt;&gt;0,Z27,0),0)</f>
        <v>0</v>
      </c>
      <c r="T64" s="305">
        <f>IF(T63=0,0,IF(T63=Y$27,S64,IF(T63=Z$27,0,0)))</f>
        <v>0</v>
      </c>
      <c r="U64" s="305"/>
      <c r="V64" s="304">
        <f t="shared" si="22"/>
        <v>0</v>
      </c>
      <c r="W64" s="304">
        <f t="shared" si="46"/>
        <v>0</v>
      </c>
      <c r="X64" s="304">
        <f t="shared" si="23"/>
        <v>0</v>
      </c>
      <c r="AA64" s="304">
        <f>IF($AR$21,IF(AH27&lt;&gt;0,AH27,0),0)</f>
        <v>0</v>
      </c>
      <c r="AB64" s="305">
        <f>IF(AB63=0,0,IF(AB63=AG$27,AA64,IF(AB63=AH$27,0,0)))</f>
        <v>0</v>
      </c>
      <c r="AC64" s="305"/>
      <c r="AD64" s="304">
        <f t="shared" si="24"/>
        <v>0</v>
      </c>
      <c r="AE64" s="304">
        <f t="shared" si="47"/>
        <v>0</v>
      </c>
      <c r="AF64" s="304">
        <f t="shared" si="25"/>
        <v>0</v>
      </c>
      <c r="AI64" s="304">
        <f>IF($AR$21,IF(AP27&lt;&gt;0,AP27,0),0)</f>
        <v>0</v>
      </c>
      <c r="AJ64" s="305">
        <f>IF(AJ63=0,0,IF(AJ63=AO$27,AI64,IF(AJ63=AP$27,0,0)))</f>
        <v>0</v>
      </c>
      <c r="AK64" s="305"/>
      <c r="AL64" s="304">
        <f t="shared" si="26"/>
        <v>0</v>
      </c>
      <c r="AM64" s="304">
        <f t="shared" si="48"/>
        <v>0</v>
      </c>
      <c r="AN64" s="304">
        <f t="shared" si="27"/>
        <v>0</v>
      </c>
      <c r="AP64" s="304">
        <f t="shared" si="38"/>
        <v>0</v>
      </c>
      <c r="AQ64" s="304">
        <f t="shared" si="39"/>
        <v>0</v>
      </c>
      <c r="AR64" s="304">
        <f t="shared" si="54"/>
        <v>0</v>
      </c>
      <c r="AS64" s="304">
        <f t="shared" si="55"/>
        <v>0</v>
      </c>
      <c r="AU64" s="304" t="e">
        <f>VLOOKUP(AR64,'Priority rules'!$U$15:$V$32,2,FALSE)</f>
        <v>#N/A</v>
      </c>
      <c r="AV64" s="304" t="e">
        <f t="shared" si="40"/>
        <v>#N/A</v>
      </c>
      <c r="AW64" s="304" t="b">
        <f t="shared" si="41"/>
        <v>0</v>
      </c>
      <c r="AX64" s="304">
        <f t="shared" si="42"/>
        <v>0</v>
      </c>
      <c r="AY64" s="304">
        <f t="shared" si="56"/>
        <v>0</v>
      </c>
      <c r="AZ64" s="304">
        <f t="shared" si="57"/>
        <v>0</v>
      </c>
      <c r="BA64" s="304">
        <f t="shared" si="50"/>
        <v>0</v>
      </c>
      <c r="BB64" s="304">
        <f t="shared" si="53"/>
        <v>0</v>
      </c>
      <c r="BC64" s="304">
        <f t="shared" si="58"/>
        <v>0</v>
      </c>
      <c r="BD64" s="304">
        <f t="shared" si="43"/>
        <v>0</v>
      </c>
      <c r="BE64" s="304">
        <f t="shared" si="44"/>
        <v>0</v>
      </c>
      <c r="BF64" s="304">
        <f t="shared" si="45"/>
        <v>0</v>
      </c>
      <c r="BG64" s="304">
        <f t="shared" si="59"/>
        <v>0</v>
      </c>
      <c r="BH64" s="304">
        <f t="shared" si="60"/>
        <v>0</v>
      </c>
      <c r="BI64" s="304">
        <f t="shared" si="61"/>
        <v>0</v>
      </c>
    </row>
    <row r="65" spans="2:61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89"/>
      <c r="M65" s="89"/>
      <c r="N65" s="115"/>
      <c r="O65" s="115"/>
      <c r="P65" s="115"/>
      <c r="Q65" s="68"/>
      <c r="R65" s="501"/>
      <c r="S65" s="304">
        <f>IF($AR$21,IF(S28&lt;&gt;0,S28,IF(U28&lt;&gt;0,U28,IF(V28&lt;&gt;0,V28,IF(W28&lt;&gt;0,W28,IF(X28&lt;&gt;0,X28,IF(Y28&lt;&gt;0,Y28,IF(Z28&lt;&gt;0,Z28,0))))))),0)</f>
        <v>0</v>
      </c>
      <c r="T65" s="305">
        <f>S65</f>
        <v>0</v>
      </c>
      <c r="U65" s="305"/>
      <c r="V65" s="304">
        <f t="shared" si="22"/>
        <v>0</v>
      </c>
      <c r="W65" s="304">
        <f t="shared" si="46"/>
        <v>0</v>
      </c>
      <c r="X65" s="304">
        <f t="shared" si="23"/>
        <v>0</v>
      </c>
      <c r="AA65" s="304">
        <f>IF($AR$21,IF(AA28&lt;&gt;0,AA28,IF(AC28&lt;&gt;0,AC28,IF(AD28&lt;&gt;0,AD28,IF(AE28&lt;&gt;0,AE28,IF(AF28&lt;&gt;0,AF28,IF(AG28&lt;&gt;0,AG28,IF(AH28&lt;&gt;0,AH28,0))))))),0)</f>
        <v>0</v>
      </c>
      <c r="AB65" s="305">
        <f>AA65</f>
        <v>0</v>
      </c>
      <c r="AC65" s="305"/>
      <c r="AD65" s="304">
        <f t="shared" si="24"/>
        <v>0</v>
      </c>
      <c r="AE65" s="304">
        <f t="shared" si="47"/>
        <v>0</v>
      </c>
      <c r="AF65" s="304">
        <f t="shared" si="25"/>
        <v>0</v>
      </c>
      <c r="AI65" s="304">
        <f>IF($AR$21,IF(AI28&lt;&gt;0,AI28,IF(AK28&lt;&gt;0,AK28,IF(AL28&lt;&gt;0,AL28,IF(AM28&lt;&gt;0,AM28,IF(AN28&lt;&gt;0,AN28,IF(AO28&lt;&gt;0,AO28,IF(AP28&lt;&gt;0,AP28,0))))))),0)</f>
        <v>0</v>
      </c>
      <c r="AJ65" s="305">
        <f>AI65</f>
        <v>0</v>
      </c>
      <c r="AK65" s="305"/>
      <c r="AL65" s="304">
        <f t="shared" si="26"/>
        <v>0</v>
      </c>
      <c r="AM65" s="304">
        <f t="shared" si="48"/>
        <v>0</v>
      </c>
      <c r="AN65" s="304">
        <f t="shared" si="27"/>
        <v>0</v>
      </c>
      <c r="AP65" s="304">
        <f t="shared" si="38"/>
        <v>0</v>
      </c>
      <c r="AQ65" s="304">
        <f t="shared" si="39"/>
        <v>0</v>
      </c>
      <c r="AR65" s="304">
        <f t="shared" si="54"/>
        <v>0</v>
      </c>
      <c r="AS65" s="304">
        <f t="shared" si="55"/>
        <v>0</v>
      </c>
      <c r="AU65" s="304" t="e">
        <f>VLOOKUP(AR65,'Priority rules'!$U$15:$V$32,2,FALSE)</f>
        <v>#N/A</v>
      </c>
      <c r="AV65" s="304" t="e">
        <f t="shared" si="40"/>
        <v>#N/A</v>
      </c>
      <c r="AW65" s="304" t="b">
        <f t="shared" si="41"/>
        <v>0</v>
      </c>
      <c r="AX65" s="304">
        <f t="shared" si="42"/>
        <v>0</v>
      </c>
      <c r="AY65" s="304">
        <f t="shared" si="56"/>
        <v>0</v>
      </c>
      <c r="AZ65" s="304">
        <f t="shared" si="57"/>
        <v>0</v>
      </c>
      <c r="BA65" s="304">
        <f t="shared" si="50"/>
        <v>0</v>
      </c>
      <c r="BB65" s="304">
        <f t="shared" si="53"/>
        <v>0</v>
      </c>
      <c r="BC65" s="304">
        <f t="shared" si="58"/>
        <v>0</v>
      </c>
      <c r="BD65" s="304">
        <f t="shared" si="43"/>
        <v>0</v>
      </c>
      <c r="BE65" s="304">
        <f t="shared" si="44"/>
        <v>0</v>
      </c>
      <c r="BF65" s="304">
        <f t="shared" si="45"/>
        <v>0</v>
      </c>
      <c r="BG65" s="304">
        <f t="shared" si="59"/>
        <v>0</v>
      </c>
      <c r="BH65" s="304">
        <f t="shared" si="60"/>
        <v>0</v>
      </c>
      <c r="BI65" s="304">
        <f t="shared" si="61"/>
        <v>0</v>
      </c>
    </row>
    <row r="66" spans="2:61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89"/>
      <c r="M66" s="89"/>
      <c r="N66" s="115"/>
      <c r="O66" s="115"/>
      <c r="P66" s="115"/>
      <c r="Q66" s="68"/>
      <c r="R66" s="501"/>
      <c r="S66" s="304">
        <f>IF($AR$21,IF(U28&lt;&gt;0,U28,IF(V28&lt;&gt;0,V28,IF(W28&lt;&gt;0,W28,IF(X28&lt;&gt;0,X28,IF(Y28&lt;&gt;0,Y28,IF(Z28&lt;&gt;0,Z28,0)))))),0)</f>
        <v>0</v>
      </c>
      <c r="T66" s="305">
        <f>IF(T65=0,0,IF(T65=S$28,S66,IF(T65=U$28,S67,IF(T65=V$28,S68,IF(T65=W$28,S69,IF(T65=X$28,S70,IF(T65=Y$28,S71,IF(T65=Z$28,0,0))))))))</f>
        <v>0</v>
      </c>
      <c r="U66" s="305"/>
      <c r="V66" s="304">
        <f t="shared" si="22"/>
        <v>0</v>
      </c>
      <c r="W66" s="304">
        <f t="shared" si="46"/>
        <v>0</v>
      </c>
      <c r="X66" s="304">
        <f t="shared" si="23"/>
        <v>0</v>
      </c>
      <c r="AA66" s="304">
        <f>IF($AR$21,IF(AC28&lt;&gt;0,AC28,IF(AD28&lt;&gt;0,AD28,IF(AE28&lt;&gt;0,AE28,IF(AF28&lt;&gt;0,AF28,IF(AG28&lt;&gt;0,AG28,IF(AH28&lt;&gt;0,AH28,0)))))),0)</f>
        <v>0</v>
      </c>
      <c r="AB66" s="305">
        <f>IF(AB65=0,0,IF(AB65=AA$28,AA66,IF(AB65=AC$28,AA67,IF(AB65=AD$28,AA68,IF(AB65=AE$28,AA69,IF(AB65=AF$28,AA70,IF(AB65=AG$28,AA71,IF(AB65=AH$28,0,0))))))))</f>
        <v>0</v>
      </c>
      <c r="AC66" s="305"/>
      <c r="AD66" s="304">
        <f t="shared" si="24"/>
        <v>0</v>
      </c>
      <c r="AE66" s="304">
        <f t="shared" si="47"/>
        <v>0</v>
      </c>
      <c r="AF66" s="304">
        <f t="shared" si="25"/>
        <v>0</v>
      </c>
      <c r="AI66" s="304">
        <f>IF($AR$21,IF(AK28&lt;&gt;0,AK28,IF(AL28&lt;&gt;0,AL28,IF(AM28&lt;&gt;0,AM28,IF(AN28&lt;&gt;0,AN28,IF(AO28&lt;&gt;0,AO28,IF(AP28&lt;&gt;0,AP28,0)))))),0)</f>
        <v>0</v>
      </c>
      <c r="AJ66" s="305">
        <f>IF(AJ65=0,0,IF(AJ65=AI$28,AI66,IF(AJ65=AK$28,AI67,IF(AJ65=AL$28,AI68,IF(AJ65=AM$28,AI69,IF(AJ65=AN$28,AI70,IF(AJ65=AO$28,AI71,IF(AJ65=AP$28,0,0))))))))</f>
        <v>0</v>
      </c>
      <c r="AK66" s="305"/>
      <c r="AL66" s="304">
        <f t="shared" si="26"/>
        <v>0</v>
      </c>
      <c r="AM66" s="304">
        <f t="shared" si="48"/>
        <v>0</v>
      </c>
      <c r="AN66" s="304">
        <f t="shared" si="27"/>
        <v>0</v>
      </c>
      <c r="AP66" s="304">
        <f t="shared" si="38"/>
        <v>0</v>
      </c>
      <c r="AQ66" s="304">
        <f t="shared" si="39"/>
        <v>0</v>
      </c>
      <c r="AR66" s="304">
        <f t="shared" si="54"/>
        <v>0</v>
      </c>
      <c r="AS66" s="304">
        <f t="shared" si="55"/>
        <v>0</v>
      </c>
      <c r="AU66" s="304" t="e">
        <f>VLOOKUP(AR66,'Priority rules'!$U$15:$V$32,2,FALSE)</f>
        <v>#N/A</v>
      </c>
      <c r="AV66" s="304" t="e">
        <f t="shared" si="40"/>
        <v>#N/A</v>
      </c>
      <c r="AW66" s="304" t="b">
        <f t="shared" si="41"/>
        <v>0</v>
      </c>
      <c r="AX66" s="304">
        <f t="shared" si="42"/>
        <v>0</v>
      </c>
      <c r="AY66" s="304">
        <f t="shared" si="56"/>
        <v>0</v>
      </c>
      <c r="AZ66" s="304">
        <f t="shared" si="57"/>
        <v>0</v>
      </c>
      <c r="BA66" s="304">
        <f t="shared" si="50"/>
        <v>0</v>
      </c>
      <c r="BB66" s="304">
        <f t="shared" si="53"/>
        <v>0</v>
      </c>
      <c r="BC66" s="304">
        <f t="shared" si="58"/>
        <v>0</v>
      </c>
      <c r="BD66" s="304">
        <f t="shared" si="43"/>
        <v>0</v>
      </c>
      <c r="BE66" s="304">
        <f t="shared" si="44"/>
        <v>0</v>
      </c>
      <c r="BF66" s="304">
        <f t="shared" si="45"/>
        <v>0</v>
      </c>
      <c r="BG66" s="304">
        <f t="shared" si="59"/>
        <v>0</v>
      </c>
      <c r="BH66" s="304">
        <f t="shared" si="60"/>
        <v>0</v>
      </c>
      <c r="BI66" s="304">
        <f t="shared" si="61"/>
        <v>0</v>
      </c>
    </row>
    <row r="67" spans="2:61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89"/>
      <c r="M67" s="89"/>
      <c r="N67" s="115"/>
      <c r="O67" s="115"/>
      <c r="P67" s="115"/>
      <c r="Q67" s="68"/>
      <c r="R67" s="501"/>
      <c r="S67" s="304">
        <f>IF($AR$21,IF(V28&lt;&gt;0,V28,IF(W28&lt;&gt;0,W28,IF(X28&lt;&gt;0,X28,IF(Y28&lt;&gt;0,Y28,IF(Z28&lt;&gt;0,Z28,0))))),0)</f>
        <v>0</v>
      </c>
      <c r="T67" s="305">
        <f>IF(T66=0,0,IF(T66=U$28,S67,IF(T66=V$28,S68,IF(T66=W$28,S69,IF(T66=X$28,S70,IF(T66=Y$28,S71,IF(T66=Z$28,0,0)))))))</f>
        <v>0</v>
      </c>
      <c r="U67" s="305"/>
      <c r="V67" s="304">
        <f t="shared" si="22"/>
        <v>0</v>
      </c>
      <c r="W67" s="304">
        <f t="shared" si="46"/>
        <v>0</v>
      </c>
      <c r="X67" s="304">
        <f t="shared" si="23"/>
        <v>0</v>
      </c>
      <c r="AA67" s="304">
        <f>IF($AR$21,IF(AD28&lt;&gt;0,AD28,IF(AE28&lt;&gt;0,AE28,IF(AF28&lt;&gt;0,AF28,IF(AG28&lt;&gt;0,AG28,IF(AH28&lt;&gt;0,AH28,0))))),0)</f>
        <v>0</v>
      </c>
      <c r="AB67" s="305">
        <f>IF(AB66=0,0,IF(AB66=AC$28,AA67,IF(AB66=AD$28,AA68,IF(AB66=AE$28,AA69,IF(AB66=AF$28,AA70,IF(AB66=AG$28,AA71,IF(AB66=AH$28,0,0)))))))</f>
        <v>0</v>
      </c>
      <c r="AC67" s="305"/>
      <c r="AD67" s="304">
        <f t="shared" si="24"/>
        <v>0</v>
      </c>
      <c r="AE67" s="304">
        <f t="shared" si="47"/>
        <v>0</v>
      </c>
      <c r="AF67" s="304">
        <f t="shared" si="25"/>
        <v>0</v>
      </c>
      <c r="AI67" s="304">
        <f>IF($AR$21,IF(AL28&lt;&gt;0,AL28,IF(AM28&lt;&gt;0,AM28,IF(AN28&lt;&gt;0,AN28,IF(AO28&lt;&gt;0,AO28,IF(AP28&lt;&gt;0,AP28,0))))),0)</f>
        <v>0</v>
      </c>
      <c r="AJ67" s="305">
        <f>IF(AJ66=0,0,IF(AJ66=AK$28,AI67,IF(AJ66=AL$28,AI68,IF(AJ66=AM$28,AI69,IF(AJ66=AN$28,AI70,IF(AJ66=AO$28,AI71,IF(AJ66=AP$28,0,0)))))))</f>
        <v>0</v>
      </c>
      <c r="AK67" s="305"/>
      <c r="AL67" s="304">
        <f t="shared" si="26"/>
        <v>0</v>
      </c>
      <c r="AM67" s="304">
        <f t="shared" si="48"/>
        <v>0</v>
      </c>
      <c r="AN67" s="304">
        <f t="shared" si="27"/>
        <v>0</v>
      </c>
      <c r="AP67" s="304">
        <f t="shared" si="38"/>
        <v>0</v>
      </c>
      <c r="AQ67" s="304">
        <f t="shared" si="39"/>
        <v>0</v>
      </c>
      <c r="AR67" s="304">
        <f t="shared" si="54"/>
        <v>0</v>
      </c>
      <c r="AS67" s="304">
        <f t="shared" si="55"/>
        <v>0</v>
      </c>
      <c r="AU67" s="304" t="e">
        <f>VLOOKUP(AR67,'Priority rules'!$U$15:$V$32,2,FALSE)</f>
        <v>#N/A</v>
      </c>
      <c r="AV67" s="304" t="e">
        <f t="shared" si="40"/>
        <v>#N/A</v>
      </c>
      <c r="AW67" s="304" t="b">
        <f t="shared" si="41"/>
        <v>0</v>
      </c>
      <c r="AX67" s="304">
        <f t="shared" si="42"/>
        <v>0</v>
      </c>
      <c r="AY67" s="304">
        <f t="shared" si="56"/>
        <v>0</v>
      </c>
      <c r="AZ67" s="304">
        <f t="shared" si="57"/>
        <v>0</v>
      </c>
      <c r="BA67" s="304">
        <f t="shared" si="50"/>
        <v>0</v>
      </c>
      <c r="BB67" s="304">
        <f t="shared" si="53"/>
        <v>0</v>
      </c>
      <c r="BC67" s="304">
        <f t="shared" si="58"/>
        <v>0</v>
      </c>
      <c r="BD67" s="304">
        <f t="shared" si="43"/>
        <v>0</v>
      </c>
      <c r="BE67" s="304">
        <f t="shared" si="44"/>
        <v>0</v>
      </c>
      <c r="BF67" s="304">
        <f t="shared" si="45"/>
        <v>0</v>
      </c>
      <c r="BG67" s="304">
        <f t="shared" si="59"/>
        <v>0</v>
      </c>
      <c r="BH67" s="304">
        <f t="shared" si="60"/>
        <v>0</v>
      </c>
      <c r="BI67" s="304">
        <f t="shared" si="61"/>
        <v>0</v>
      </c>
    </row>
    <row r="68" spans="2:61" x14ac:dyDescent="0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89"/>
      <c r="M68" s="89"/>
      <c r="N68" s="115"/>
      <c r="O68" s="115"/>
      <c r="P68" s="115"/>
      <c r="Q68" s="68"/>
      <c r="R68" s="501"/>
      <c r="S68" s="304">
        <f>IF($AR$21,IF(W28&lt;&gt;0,W28,IF(X28&lt;&gt;0,X28,IF(Y28&lt;&gt;0,Y28,IF(Z28&lt;&gt;0,Z28,0)))),0)</f>
        <v>0</v>
      </c>
      <c r="T68" s="305">
        <f>IF(T67=0,0,IF(T67=V$28,S68,IF(T67=W$28,S69,IF(T67=X$28,S70,IF(T67=Y$28,S71,IF(T67=Z$28,0,0))))))</f>
        <v>0</v>
      </c>
      <c r="U68" s="305"/>
      <c r="V68" s="304">
        <f t="shared" si="22"/>
        <v>0</v>
      </c>
      <c r="W68" s="304">
        <f t="shared" si="46"/>
        <v>0</v>
      </c>
      <c r="X68" s="304">
        <f t="shared" si="23"/>
        <v>0</v>
      </c>
      <c r="AA68" s="304">
        <f>IF($AR$21,IF(AE28&lt;&gt;0,AE28,IF(AF28&lt;&gt;0,AF28,IF(AG28&lt;&gt;0,AG28,IF(AH28&lt;&gt;0,AH28,0)))),0)</f>
        <v>0</v>
      </c>
      <c r="AB68" s="305">
        <f>IF(AB67=0,0,IF(AB67=AD$28,AA68,IF(AB67=AE$28,AA69,IF(AB67=AF$28,AA70,IF(AB67=AG$28,AA71,IF(AB67=AH$28,0,0))))))</f>
        <v>0</v>
      </c>
      <c r="AC68" s="305"/>
      <c r="AD68" s="304">
        <f t="shared" si="24"/>
        <v>0</v>
      </c>
      <c r="AE68" s="304">
        <f t="shared" si="47"/>
        <v>0</v>
      </c>
      <c r="AF68" s="304">
        <f t="shared" si="25"/>
        <v>0</v>
      </c>
      <c r="AI68" s="304">
        <f>IF($AR$21,IF(AM28&lt;&gt;0,AM28,IF(AN28&lt;&gt;0,AN28,IF(AO28&lt;&gt;0,AO28,IF(AP28&lt;&gt;0,AP28,0)))),0)</f>
        <v>0</v>
      </c>
      <c r="AJ68" s="305">
        <f>IF(AJ67=0,0,IF(AJ67=AL$28,AI68,IF(AJ67=AM$28,AI69,IF(AJ67=AN$28,AI70,IF(AJ67=AO$28,AI71,IF(AJ67=AP$28,0,0))))))</f>
        <v>0</v>
      </c>
      <c r="AK68" s="305"/>
      <c r="AL68" s="304">
        <f t="shared" si="26"/>
        <v>0</v>
      </c>
      <c r="AM68" s="304">
        <f t="shared" si="48"/>
        <v>0</v>
      </c>
      <c r="AN68" s="304">
        <f t="shared" si="27"/>
        <v>0</v>
      </c>
      <c r="AP68" s="304">
        <f t="shared" si="38"/>
        <v>0</v>
      </c>
      <c r="AQ68" s="304">
        <f t="shared" si="39"/>
        <v>0</v>
      </c>
      <c r="AR68" s="304">
        <f t="shared" si="54"/>
        <v>0</v>
      </c>
      <c r="AS68" s="304">
        <f t="shared" si="55"/>
        <v>0</v>
      </c>
      <c r="AU68" s="304" t="e">
        <f>VLOOKUP(AR68,'Priority rules'!$U$15:$V$32,2,FALSE)</f>
        <v>#N/A</v>
      </c>
      <c r="AV68" s="304" t="e">
        <f t="shared" si="40"/>
        <v>#N/A</v>
      </c>
      <c r="AW68" s="304" t="b">
        <f t="shared" si="41"/>
        <v>0</v>
      </c>
      <c r="AX68" s="304">
        <f t="shared" si="42"/>
        <v>0</v>
      </c>
      <c r="AY68" s="304">
        <f t="shared" si="56"/>
        <v>0</v>
      </c>
      <c r="AZ68" s="304">
        <f t="shared" si="57"/>
        <v>0</v>
      </c>
      <c r="BA68" s="304">
        <f t="shared" si="50"/>
        <v>0</v>
      </c>
      <c r="BB68" s="304">
        <f t="shared" si="53"/>
        <v>0</v>
      </c>
      <c r="BC68" s="304">
        <f t="shared" si="58"/>
        <v>0</v>
      </c>
      <c r="BD68" s="304">
        <f t="shared" si="43"/>
        <v>0</v>
      </c>
      <c r="BE68" s="304">
        <f t="shared" si="44"/>
        <v>0</v>
      </c>
      <c r="BF68" s="304">
        <f t="shared" si="45"/>
        <v>0</v>
      </c>
      <c r="BG68" s="304">
        <f t="shared" si="59"/>
        <v>0</v>
      </c>
      <c r="BH68" s="304">
        <f t="shared" si="60"/>
        <v>0</v>
      </c>
      <c r="BI68" s="304">
        <f t="shared" si="61"/>
        <v>0</v>
      </c>
    </row>
    <row r="69" spans="2:61" x14ac:dyDescent="0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89"/>
      <c r="M69" s="89"/>
      <c r="N69" s="115"/>
      <c r="O69" s="115"/>
      <c r="P69" s="115"/>
      <c r="Q69" s="68"/>
      <c r="R69" s="501"/>
      <c r="S69" s="304">
        <f>IF($AR$21,IF(X28&lt;&gt;0,X28,IF(Y28&lt;&gt;0,Y28,IF(Z28&lt;&gt;0,Z28,0))),0)</f>
        <v>0</v>
      </c>
      <c r="T69" s="305">
        <f>IF(T68=0,0,IF(T68=W$28,S69,IF(T68=X$28,S70,IF(T68=Y$28,S71,IF(T68=Z$28,0,0)))))</f>
        <v>0</v>
      </c>
      <c r="U69" s="305"/>
      <c r="V69" s="304">
        <f t="shared" si="22"/>
        <v>0</v>
      </c>
      <c r="W69" s="304">
        <f t="shared" si="46"/>
        <v>0</v>
      </c>
      <c r="X69" s="304">
        <f t="shared" si="23"/>
        <v>0</v>
      </c>
      <c r="AA69" s="304">
        <f>IF($AR$21,IF(AF28&lt;&gt;0,AF28,IF(AG28&lt;&gt;0,AG28,IF(AH28&lt;&gt;0,AH28,0))),0)</f>
        <v>0</v>
      </c>
      <c r="AB69" s="305">
        <f>IF(AB68=0,0,IF(AB68=AE$28,AA69,IF(AB68=AF$28,AA70,IF(AB68=AG$28,AA71,IF(AB68=AH$28,0,0)))))</f>
        <v>0</v>
      </c>
      <c r="AC69" s="305"/>
      <c r="AD69" s="304">
        <f t="shared" si="24"/>
        <v>0</v>
      </c>
      <c r="AE69" s="304">
        <f t="shared" si="47"/>
        <v>0</v>
      </c>
      <c r="AF69" s="304">
        <f t="shared" si="25"/>
        <v>0</v>
      </c>
      <c r="AI69" s="304">
        <f>IF($AR$21,IF(AN28&lt;&gt;0,AN28,IF(AO28&lt;&gt;0,AO28,IF(AP28&lt;&gt;0,AP28,0))),0)</f>
        <v>0</v>
      </c>
      <c r="AJ69" s="305">
        <f>IF(AJ68=0,0,IF(AJ68=AM$28,AI69,IF(AJ68=AN$28,AI70,IF(AJ68=AO$28,AI71,IF(AJ68=AP$28,0,0)))))</f>
        <v>0</v>
      </c>
      <c r="AK69" s="305"/>
      <c r="AL69" s="304">
        <f t="shared" si="26"/>
        <v>0</v>
      </c>
      <c r="AM69" s="304">
        <f t="shared" si="48"/>
        <v>0</v>
      </c>
      <c r="AN69" s="304">
        <f t="shared" si="27"/>
        <v>0</v>
      </c>
      <c r="AP69" s="304">
        <f t="shared" si="38"/>
        <v>0</v>
      </c>
      <c r="AQ69" s="304">
        <f t="shared" si="39"/>
        <v>0</v>
      </c>
      <c r="AR69" s="304">
        <f t="shared" si="54"/>
        <v>0</v>
      </c>
      <c r="AS69" s="304">
        <f t="shared" si="55"/>
        <v>0</v>
      </c>
      <c r="AU69" s="304" t="e">
        <f>VLOOKUP(AR69,'Priority rules'!$U$15:$V$32,2,FALSE)</f>
        <v>#N/A</v>
      </c>
      <c r="AV69" s="304" t="e">
        <f t="shared" si="40"/>
        <v>#N/A</v>
      </c>
      <c r="AW69" s="304" t="b">
        <f t="shared" si="41"/>
        <v>0</v>
      </c>
      <c r="AX69" s="304">
        <f t="shared" si="42"/>
        <v>0</v>
      </c>
      <c r="AY69" s="304">
        <f t="shared" si="56"/>
        <v>0</v>
      </c>
      <c r="AZ69" s="304">
        <f t="shared" si="57"/>
        <v>0</v>
      </c>
      <c r="BA69" s="304">
        <f t="shared" si="50"/>
        <v>0</v>
      </c>
      <c r="BB69" s="304">
        <f t="shared" si="53"/>
        <v>0</v>
      </c>
      <c r="BC69" s="304">
        <f t="shared" si="58"/>
        <v>0</v>
      </c>
      <c r="BD69" s="304">
        <f t="shared" si="43"/>
        <v>0</v>
      </c>
      <c r="BE69" s="304">
        <f t="shared" si="44"/>
        <v>0</v>
      </c>
      <c r="BF69" s="304">
        <f t="shared" si="45"/>
        <v>0</v>
      </c>
      <c r="BG69" s="304">
        <f t="shared" si="59"/>
        <v>0</v>
      </c>
      <c r="BH69" s="304">
        <f t="shared" si="60"/>
        <v>0</v>
      </c>
      <c r="BI69" s="304">
        <f t="shared" si="61"/>
        <v>0</v>
      </c>
    </row>
    <row r="70" spans="2:61" x14ac:dyDescent="0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89"/>
      <c r="M70" s="89"/>
      <c r="N70" s="115"/>
      <c r="O70" s="115"/>
      <c r="P70" s="115"/>
      <c r="Q70" s="68"/>
      <c r="R70" s="501"/>
      <c r="S70" s="304">
        <f>IF($AR$21,IF(Y28&lt;&gt;0,Y28,IF(Z28&lt;&gt;0,Z28,0)),0)</f>
        <v>0</v>
      </c>
      <c r="T70" s="305">
        <f>IF(T69=0,0,IF(T69=X$28,S70,IF(T69=Y$28,S71,IF(T69=Z$28,0,0))))</f>
        <v>0</v>
      </c>
      <c r="U70" s="305"/>
      <c r="V70" s="304">
        <f t="shared" si="22"/>
        <v>0</v>
      </c>
      <c r="W70" s="304">
        <f t="shared" si="46"/>
        <v>0</v>
      </c>
      <c r="X70" s="304">
        <f t="shared" si="23"/>
        <v>0</v>
      </c>
      <c r="AA70" s="304">
        <f>IF($AR$21,IF(AG28&lt;&gt;0,AG28,IF(AH28&lt;&gt;0,AH28,0)),0)</f>
        <v>0</v>
      </c>
      <c r="AB70" s="305">
        <f>IF(AB69=0,0,IF(AB69=AF$28,AA70,IF(AB69=AG$28,AA71,IF(AB69=AH$28,0,0))))</f>
        <v>0</v>
      </c>
      <c r="AC70" s="305"/>
      <c r="AD70" s="304">
        <f t="shared" si="24"/>
        <v>0</v>
      </c>
      <c r="AE70" s="304">
        <f t="shared" si="47"/>
        <v>0</v>
      </c>
      <c r="AF70" s="304">
        <f t="shared" si="25"/>
        <v>0</v>
      </c>
      <c r="AI70" s="304">
        <f>IF($AR$21,IF(AO28&lt;&gt;0,AO28,IF(AP28&lt;&gt;0,AP28,0)),0)</f>
        <v>0</v>
      </c>
      <c r="AJ70" s="305">
        <f>IF(AJ69=0,0,IF(AJ69=AN$28,AI70,IF(AJ69=AO$28,AI71,IF(AJ69=AP$28,0,0))))</f>
        <v>0</v>
      </c>
      <c r="AK70" s="305"/>
      <c r="AL70" s="304">
        <f t="shared" si="26"/>
        <v>0</v>
      </c>
      <c r="AM70" s="304">
        <f t="shared" si="48"/>
        <v>0</v>
      </c>
      <c r="AN70" s="304">
        <f t="shared" si="27"/>
        <v>0</v>
      </c>
      <c r="AP70" s="304">
        <f t="shared" si="38"/>
        <v>0</v>
      </c>
      <c r="AQ70" s="304">
        <f t="shared" si="39"/>
        <v>0</v>
      </c>
      <c r="AR70" s="304">
        <f t="shared" si="54"/>
        <v>0</v>
      </c>
      <c r="AS70" s="304">
        <f t="shared" si="55"/>
        <v>0</v>
      </c>
      <c r="AU70" s="304" t="e">
        <f>VLOOKUP(AR70,'Priority rules'!$U$15:$V$32,2,FALSE)</f>
        <v>#N/A</v>
      </c>
      <c r="AV70" s="304" t="e">
        <f t="shared" si="40"/>
        <v>#N/A</v>
      </c>
      <c r="AW70" s="304" t="b">
        <f t="shared" si="41"/>
        <v>0</v>
      </c>
      <c r="AX70" s="304">
        <f t="shared" si="42"/>
        <v>0</v>
      </c>
      <c r="AY70" s="304">
        <f t="shared" si="56"/>
        <v>0</v>
      </c>
      <c r="AZ70" s="304">
        <f t="shared" si="57"/>
        <v>0</v>
      </c>
      <c r="BA70" s="304">
        <f t="shared" si="50"/>
        <v>0</v>
      </c>
      <c r="BB70" s="304">
        <f t="shared" si="53"/>
        <v>0</v>
      </c>
      <c r="BC70" s="304">
        <f t="shared" si="58"/>
        <v>0</v>
      </c>
      <c r="BD70" s="304">
        <f t="shared" si="43"/>
        <v>0</v>
      </c>
      <c r="BE70" s="304">
        <f t="shared" si="44"/>
        <v>0</v>
      </c>
      <c r="BF70" s="304">
        <f t="shared" si="45"/>
        <v>0</v>
      </c>
      <c r="BG70" s="304">
        <f t="shared" si="59"/>
        <v>0</v>
      </c>
      <c r="BH70" s="304">
        <f t="shared" si="60"/>
        <v>0</v>
      </c>
      <c r="BI70" s="304">
        <f t="shared" si="61"/>
        <v>0</v>
      </c>
    </row>
    <row r="71" spans="2:61" x14ac:dyDescent="0.2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89"/>
      <c r="M71" s="89"/>
      <c r="N71" s="115"/>
      <c r="O71" s="115"/>
      <c r="P71" s="115"/>
      <c r="Q71" s="68"/>
      <c r="R71" s="501"/>
      <c r="S71" s="304">
        <f>IF($AR$21,IF(Z28&lt;&gt;0,Z28,0),0)</f>
        <v>0</v>
      </c>
      <c r="T71" s="305">
        <f>IF(T70=0,0,IF(T70=Y$28,S71,IF(T70=Z$28,0,0)))</f>
        <v>0</v>
      </c>
      <c r="U71" s="305"/>
      <c r="V71" s="304">
        <f t="shared" si="22"/>
        <v>0</v>
      </c>
      <c r="W71" s="304">
        <f t="shared" si="46"/>
        <v>0</v>
      </c>
      <c r="X71" s="304">
        <f t="shared" si="23"/>
        <v>0</v>
      </c>
      <c r="AA71" s="304">
        <f>IF($AR$21,IF(AH28&lt;&gt;0,AH28,0),0)</f>
        <v>0</v>
      </c>
      <c r="AB71" s="305">
        <f>IF(AB70=0,0,IF(AB70=AG$28,AA71,IF(AB70=AH$28,0,0)))</f>
        <v>0</v>
      </c>
      <c r="AC71" s="305"/>
      <c r="AD71" s="304">
        <f t="shared" si="24"/>
        <v>0</v>
      </c>
      <c r="AE71" s="304">
        <f t="shared" si="47"/>
        <v>0</v>
      </c>
      <c r="AF71" s="304">
        <f t="shared" si="25"/>
        <v>0</v>
      </c>
      <c r="AI71" s="304">
        <f>IF($AR$21,IF(AP28&lt;&gt;0,AP28,0),0)</f>
        <v>0</v>
      </c>
      <c r="AJ71" s="305">
        <f>IF(AJ70=0,0,IF(AJ70=AO$28,AI71,IF(AJ70=AP$28,0,0)))</f>
        <v>0</v>
      </c>
      <c r="AK71" s="305"/>
      <c r="AL71" s="304">
        <f t="shared" si="26"/>
        <v>0</v>
      </c>
      <c r="AM71" s="304">
        <f t="shared" si="48"/>
        <v>0</v>
      </c>
      <c r="AN71" s="304">
        <f t="shared" si="27"/>
        <v>0</v>
      </c>
      <c r="AP71" s="304">
        <f t="shared" si="38"/>
        <v>0</v>
      </c>
      <c r="AQ71" s="304">
        <f t="shared" si="39"/>
        <v>0</v>
      </c>
      <c r="AR71" s="304">
        <f t="shared" si="54"/>
        <v>0</v>
      </c>
      <c r="AS71" s="304">
        <f t="shared" si="55"/>
        <v>0</v>
      </c>
      <c r="AU71" s="304" t="e">
        <f>VLOOKUP(AR71,'Priority rules'!$U$15:$V$32,2,FALSE)</f>
        <v>#N/A</v>
      </c>
      <c r="AV71" s="304" t="e">
        <f t="shared" si="40"/>
        <v>#N/A</v>
      </c>
      <c r="AW71" s="304" t="b">
        <f t="shared" si="41"/>
        <v>0</v>
      </c>
      <c r="AX71" s="304">
        <f t="shared" si="42"/>
        <v>0</v>
      </c>
      <c r="AY71" s="304">
        <f t="shared" si="56"/>
        <v>0</v>
      </c>
      <c r="AZ71" s="304">
        <f t="shared" si="57"/>
        <v>0</v>
      </c>
      <c r="BA71" s="304">
        <f t="shared" si="50"/>
        <v>0</v>
      </c>
      <c r="BB71" s="304">
        <f t="shared" si="53"/>
        <v>0</v>
      </c>
      <c r="BC71" s="304">
        <f t="shared" si="58"/>
        <v>0</v>
      </c>
      <c r="BD71" s="304">
        <f t="shared" si="43"/>
        <v>0</v>
      </c>
      <c r="BE71" s="304">
        <f t="shared" si="44"/>
        <v>0</v>
      </c>
      <c r="BF71" s="304">
        <f t="shared" si="45"/>
        <v>0</v>
      </c>
      <c r="BG71" s="304">
        <f t="shared" si="59"/>
        <v>0</v>
      </c>
      <c r="BH71" s="304">
        <f t="shared" si="60"/>
        <v>0</v>
      </c>
      <c r="BI71" s="304">
        <f t="shared" si="61"/>
        <v>0</v>
      </c>
    </row>
    <row r="72" spans="2:61" x14ac:dyDescent="0.2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89"/>
      <c r="M72" s="89"/>
      <c r="N72" s="115"/>
      <c r="O72" s="115"/>
      <c r="P72" s="115"/>
      <c r="Q72" s="68"/>
      <c r="R72" s="501"/>
      <c r="AP72" s="304">
        <f>AF30</f>
        <v>0</v>
      </c>
      <c r="AQ72" s="304">
        <f>IF(AP72=0,0,2)</f>
        <v>0</v>
      </c>
      <c r="AR72" s="304">
        <f t="shared" si="54"/>
        <v>0</v>
      </c>
      <c r="AS72" s="304">
        <f t="shared" si="55"/>
        <v>0</v>
      </c>
      <c r="AU72" s="304" t="e">
        <f>VLOOKUP(AR72,'Priority rules'!$U$15:$V$32,2,FALSE)</f>
        <v>#N/A</v>
      </c>
      <c r="AV72" s="304" t="e">
        <f t="shared" si="40"/>
        <v>#N/A</v>
      </c>
      <c r="AW72" s="304" t="b">
        <f t="shared" si="41"/>
        <v>0</v>
      </c>
      <c r="AX72" s="304">
        <f t="shared" si="42"/>
        <v>0</v>
      </c>
      <c r="AY72" s="304">
        <f t="shared" si="56"/>
        <v>0</v>
      </c>
      <c r="AZ72" s="304">
        <f t="shared" si="57"/>
        <v>0</v>
      </c>
      <c r="BA72" s="304">
        <f t="shared" si="50"/>
        <v>0</v>
      </c>
      <c r="BB72" s="304">
        <f t="shared" si="53"/>
        <v>0</v>
      </c>
      <c r="BC72" s="304">
        <f t="shared" si="58"/>
        <v>0</v>
      </c>
      <c r="BD72" s="304">
        <f t="shared" si="43"/>
        <v>0</v>
      </c>
      <c r="BE72" s="304">
        <f t="shared" si="44"/>
        <v>0</v>
      </c>
      <c r="BF72" s="304">
        <f t="shared" si="45"/>
        <v>0</v>
      </c>
      <c r="BG72" s="304">
        <f t="shared" si="59"/>
        <v>0</v>
      </c>
      <c r="BH72" s="304">
        <f t="shared" si="60"/>
        <v>0</v>
      </c>
      <c r="BI72" s="304">
        <f t="shared" si="61"/>
        <v>0</v>
      </c>
    </row>
    <row r="73" spans="2:61" ht="135" x14ac:dyDescent="0.2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89"/>
      <c r="M73" s="89"/>
      <c r="N73" s="115"/>
      <c r="O73" s="115"/>
      <c r="P73" s="278">
        <f t="shared" ref="P73:P136" si="62">R73</f>
        <v>88</v>
      </c>
      <c r="Q73" s="68" t="s">
        <v>234</v>
      </c>
      <c r="R73" s="277">
        <v>88</v>
      </c>
      <c r="S73" s="319" t="s">
        <v>321</v>
      </c>
      <c r="T73" s="319"/>
      <c r="U73" s="304">
        <v>136</v>
      </c>
      <c r="V73" s="306" t="s">
        <v>373</v>
      </c>
      <c r="W73" s="319" t="s">
        <v>374</v>
      </c>
      <c r="X73" s="304">
        <v>136</v>
      </c>
      <c r="AP73" s="304">
        <f>AF31</f>
        <v>0</v>
      </c>
      <c r="AQ73" s="304">
        <f t="shared" ref="AQ73:AQ113" si="63">IF(AP73=0,0,2)</f>
        <v>0</v>
      </c>
      <c r="AR73" s="304">
        <f t="shared" si="54"/>
        <v>0</v>
      </c>
      <c r="AS73" s="304">
        <f t="shared" si="55"/>
        <v>0</v>
      </c>
      <c r="AU73" s="304" t="e">
        <f>VLOOKUP(AR73,'Priority rules'!$U$15:$V$32,2,FALSE)</f>
        <v>#N/A</v>
      </c>
      <c r="AV73" s="304" t="e">
        <f t="shared" si="40"/>
        <v>#N/A</v>
      </c>
      <c r="AW73" s="304" t="b">
        <f t="shared" si="41"/>
        <v>0</v>
      </c>
      <c r="AX73" s="304">
        <f t="shared" si="42"/>
        <v>0</v>
      </c>
      <c r="AY73" s="304">
        <f t="shared" si="56"/>
        <v>0</v>
      </c>
      <c r="AZ73" s="304">
        <f t="shared" si="57"/>
        <v>0</v>
      </c>
      <c r="BA73" s="304">
        <f t="shared" si="50"/>
        <v>0</v>
      </c>
      <c r="BB73" s="304">
        <f t="shared" si="53"/>
        <v>0</v>
      </c>
      <c r="BC73" s="304">
        <f t="shared" si="58"/>
        <v>0</v>
      </c>
      <c r="BD73" s="304">
        <f t="shared" si="43"/>
        <v>0</v>
      </c>
      <c r="BE73" s="304">
        <f t="shared" si="44"/>
        <v>0</v>
      </c>
      <c r="BF73" s="304">
        <f t="shared" si="45"/>
        <v>0</v>
      </c>
      <c r="BG73" s="304">
        <f t="shared" si="59"/>
        <v>0</v>
      </c>
      <c r="BH73" s="304">
        <f t="shared" si="60"/>
        <v>0</v>
      </c>
      <c r="BI73" s="304">
        <f t="shared" si="61"/>
        <v>0</v>
      </c>
    </row>
    <row r="74" spans="2:61" ht="60" x14ac:dyDescent="0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89"/>
      <c r="M74" s="89"/>
      <c r="N74" s="115"/>
      <c r="O74" s="115"/>
      <c r="P74" s="278">
        <f t="shared" si="62"/>
        <v>87</v>
      </c>
      <c r="Q74" s="68" t="s">
        <v>236</v>
      </c>
      <c r="R74" s="277">
        <v>87</v>
      </c>
      <c r="S74" s="319" t="s">
        <v>322</v>
      </c>
      <c r="T74" s="319"/>
      <c r="U74" s="304">
        <v>135</v>
      </c>
      <c r="V74" s="306" t="s">
        <v>375</v>
      </c>
      <c r="W74" s="319" t="s">
        <v>376</v>
      </c>
      <c r="X74" s="304">
        <v>135</v>
      </c>
      <c r="Z74" s="304" t="s">
        <v>555</v>
      </c>
      <c r="AA74" s="304" t="s">
        <v>584</v>
      </c>
      <c r="AB74" s="304" t="s">
        <v>586</v>
      </c>
      <c r="AC74" s="304" t="s">
        <v>811</v>
      </c>
      <c r="AP74" s="304">
        <f t="shared" ref="AP74:AP113" si="64">AF32</f>
        <v>0</v>
      </c>
      <c r="AQ74" s="304">
        <f t="shared" si="63"/>
        <v>0</v>
      </c>
      <c r="AR74" s="304">
        <f t="shared" si="54"/>
        <v>0</v>
      </c>
      <c r="AS74" s="304">
        <f t="shared" si="55"/>
        <v>0</v>
      </c>
      <c r="AU74" s="304" t="e">
        <f>VLOOKUP(AR74,'Priority rules'!$U$15:$V$32,2,FALSE)</f>
        <v>#N/A</v>
      </c>
      <c r="AV74" s="304" t="e">
        <f t="shared" si="40"/>
        <v>#N/A</v>
      </c>
      <c r="AW74" s="304" t="b">
        <f t="shared" si="41"/>
        <v>0</v>
      </c>
      <c r="AX74" s="304">
        <f t="shared" si="42"/>
        <v>0</v>
      </c>
      <c r="AY74" s="304">
        <f t="shared" si="56"/>
        <v>0</v>
      </c>
      <c r="AZ74" s="304">
        <f t="shared" si="57"/>
        <v>0</v>
      </c>
      <c r="BA74" s="304">
        <f t="shared" si="50"/>
        <v>0</v>
      </c>
      <c r="BB74" s="304">
        <f t="shared" si="53"/>
        <v>0</v>
      </c>
      <c r="BC74" s="304">
        <f t="shared" si="58"/>
        <v>0</v>
      </c>
      <c r="BD74" s="304">
        <f t="shared" si="43"/>
        <v>0</v>
      </c>
      <c r="BE74" s="304">
        <f t="shared" si="44"/>
        <v>0</v>
      </c>
      <c r="BF74" s="304">
        <f t="shared" si="45"/>
        <v>0</v>
      </c>
      <c r="BG74" s="304">
        <f t="shared" si="59"/>
        <v>0</v>
      </c>
      <c r="BH74" s="304">
        <f t="shared" si="60"/>
        <v>0</v>
      </c>
      <c r="BI74" s="304">
        <f t="shared" si="61"/>
        <v>0</v>
      </c>
    </row>
    <row r="75" spans="2:61" ht="60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89"/>
      <c r="M75" s="89"/>
      <c r="N75" s="115"/>
      <c r="O75" s="115"/>
      <c r="P75" s="278">
        <f t="shared" si="62"/>
        <v>86</v>
      </c>
      <c r="Q75" s="68" t="s">
        <v>237</v>
      </c>
      <c r="R75" s="277">
        <v>86</v>
      </c>
      <c r="S75" s="319" t="s">
        <v>323</v>
      </c>
      <c r="T75" s="319"/>
      <c r="U75" s="304">
        <v>134</v>
      </c>
      <c r="V75" s="306" t="s">
        <v>377</v>
      </c>
      <c r="W75" s="319" t="s">
        <v>378</v>
      </c>
      <c r="X75" s="304">
        <v>134</v>
      </c>
      <c r="Z75" s="304" t="s">
        <v>556</v>
      </c>
      <c r="AA75" s="304" t="s">
        <v>585</v>
      </c>
      <c r="AB75" s="304" t="s">
        <v>587</v>
      </c>
      <c r="AC75" s="304" t="s">
        <v>812</v>
      </c>
      <c r="AP75" s="304">
        <f t="shared" si="64"/>
        <v>0</v>
      </c>
      <c r="AQ75" s="304">
        <f t="shared" si="63"/>
        <v>0</v>
      </c>
      <c r="AR75" s="304">
        <f t="shared" si="54"/>
        <v>0</v>
      </c>
      <c r="AS75" s="304">
        <f t="shared" si="55"/>
        <v>0</v>
      </c>
      <c r="AU75" s="304" t="e">
        <f>VLOOKUP(AR75,'Priority rules'!$U$15:$V$32,2,FALSE)</f>
        <v>#N/A</v>
      </c>
      <c r="AV75" s="304" t="e">
        <f t="shared" si="40"/>
        <v>#N/A</v>
      </c>
      <c r="AW75" s="304" t="b">
        <f t="shared" si="41"/>
        <v>0</v>
      </c>
      <c r="AX75" s="304">
        <f t="shared" si="42"/>
        <v>0</v>
      </c>
      <c r="AY75" s="304">
        <f t="shared" si="56"/>
        <v>0</v>
      </c>
      <c r="AZ75" s="304">
        <f t="shared" si="57"/>
        <v>0</v>
      </c>
      <c r="BA75" s="304">
        <f t="shared" si="50"/>
        <v>0</v>
      </c>
      <c r="BB75" s="304">
        <f t="shared" si="53"/>
        <v>0</v>
      </c>
      <c r="BC75" s="304">
        <f t="shared" si="58"/>
        <v>0</v>
      </c>
      <c r="BD75" s="304">
        <f t="shared" si="43"/>
        <v>0</v>
      </c>
      <c r="BE75" s="304">
        <f t="shared" si="44"/>
        <v>0</v>
      </c>
      <c r="BF75" s="304">
        <f t="shared" si="45"/>
        <v>0</v>
      </c>
      <c r="BG75" s="304">
        <f t="shared" si="59"/>
        <v>0</v>
      </c>
      <c r="BH75" s="304">
        <f t="shared" si="60"/>
        <v>0</v>
      </c>
      <c r="BI75" s="304">
        <f t="shared" si="61"/>
        <v>0</v>
      </c>
    </row>
    <row r="76" spans="2:61" ht="90" x14ac:dyDescent="0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89"/>
      <c r="M76" s="89"/>
      <c r="N76" s="115"/>
      <c r="O76" s="115"/>
      <c r="P76" s="278">
        <f t="shared" si="62"/>
        <v>85</v>
      </c>
      <c r="Q76" s="68" t="s">
        <v>238</v>
      </c>
      <c r="R76" s="277">
        <v>85</v>
      </c>
      <c r="S76" s="319" t="s">
        <v>324</v>
      </c>
      <c r="T76" s="319"/>
      <c r="U76" s="304">
        <v>133</v>
      </c>
      <c r="V76" s="306" t="s">
        <v>0</v>
      </c>
      <c r="W76" s="319" t="s">
        <v>379</v>
      </c>
      <c r="X76" s="304">
        <v>133</v>
      </c>
      <c r="AP76" s="304">
        <f t="shared" si="64"/>
        <v>0</v>
      </c>
      <c r="AQ76" s="304">
        <f t="shared" si="63"/>
        <v>0</v>
      </c>
      <c r="AR76" s="304">
        <f t="shared" si="54"/>
        <v>0</v>
      </c>
      <c r="AS76" s="304">
        <f t="shared" si="55"/>
        <v>0</v>
      </c>
      <c r="AU76" s="304" t="e">
        <f>VLOOKUP(AR76,'Priority rules'!$U$15:$V$32,2,FALSE)</f>
        <v>#N/A</v>
      </c>
      <c r="AV76" s="304" t="e">
        <f t="shared" si="40"/>
        <v>#N/A</v>
      </c>
      <c r="AW76" s="304" t="b">
        <f t="shared" si="41"/>
        <v>0</v>
      </c>
      <c r="AX76" s="304">
        <f t="shared" si="42"/>
        <v>0</v>
      </c>
      <c r="AY76" s="304">
        <f t="shared" si="56"/>
        <v>0</v>
      </c>
      <c r="AZ76" s="304">
        <f t="shared" si="57"/>
        <v>0</v>
      </c>
      <c r="BA76" s="304">
        <f t="shared" si="50"/>
        <v>0</v>
      </c>
      <c r="BB76" s="304">
        <f t="shared" si="53"/>
        <v>0</v>
      </c>
      <c r="BC76" s="304">
        <f t="shared" si="58"/>
        <v>0</v>
      </c>
      <c r="BD76" s="304">
        <f t="shared" si="43"/>
        <v>0</v>
      </c>
      <c r="BE76" s="304">
        <f t="shared" si="44"/>
        <v>0</v>
      </c>
      <c r="BF76" s="304">
        <f t="shared" si="45"/>
        <v>0</v>
      </c>
      <c r="BG76" s="304">
        <f t="shared" si="59"/>
        <v>0</v>
      </c>
      <c r="BH76" s="304">
        <f t="shared" si="60"/>
        <v>0</v>
      </c>
      <c r="BI76" s="304">
        <f t="shared" si="61"/>
        <v>0</v>
      </c>
    </row>
    <row r="77" spans="2:61" ht="150" x14ac:dyDescent="0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89"/>
      <c r="M77" s="89"/>
      <c r="N77" s="115"/>
      <c r="O77" s="115"/>
      <c r="P77" s="278">
        <f t="shared" si="62"/>
        <v>84</v>
      </c>
      <c r="Q77" s="68" t="s">
        <v>245</v>
      </c>
      <c r="R77" s="277">
        <v>84</v>
      </c>
      <c r="S77" s="319" t="s">
        <v>325</v>
      </c>
      <c r="T77" s="319"/>
      <c r="U77" s="304">
        <v>132</v>
      </c>
      <c r="V77" s="306" t="s">
        <v>1</v>
      </c>
      <c r="W77" s="319" t="s">
        <v>380</v>
      </c>
      <c r="X77" s="304">
        <v>132</v>
      </c>
      <c r="AP77" s="304">
        <f t="shared" si="64"/>
        <v>0</v>
      </c>
      <c r="AQ77" s="304">
        <f t="shared" si="63"/>
        <v>0</v>
      </c>
      <c r="AR77" s="304">
        <f t="shared" si="54"/>
        <v>0</v>
      </c>
      <c r="AS77" s="304">
        <f t="shared" si="55"/>
        <v>0</v>
      </c>
      <c r="AU77" s="304" t="e">
        <f>VLOOKUP(AR77,'Priority rules'!$U$15:$V$32,2,FALSE)</f>
        <v>#N/A</v>
      </c>
      <c r="AV77" s="304" t="e">
        <f t="shared" si="40"/>
        <v>#N/A</v>
      </c>
      <c r="AW77" s="304" t="b">
        <f t="shared" si="41"/>
        <v>0</v>
      </c>
      <c r="AX77" s="304">
        <f t="shared" si="42"/>
        <v>0</v>
      </c>
      <c r="AY77" s="304">
        <f t="shared" si="56"/>
        <v>0</v>
      </c>
      <c r="AZ77" s="304">
        <f t="shared" si="57"/>
        <v>0</v>
      </c>
      <c r="BA77" s="304">
        <f t="shared" si="50"/>
        <v>0</v>
      </c>
      <c r="BB77" s="304">
        <f t="shared" si="53"/>
        <v>0</v>
      </c>
      <c r="BC77" s="304">
        <f t="shared" si="58"/>
        <v>0</v>
      </c>
      <c r="BD77" s="304">
        <f t="shared" si="43"/>
        <v>0</v>
      </c>
      <c r="BE77" s="304">
        <f t="shared" si="44"/>
        <v>0</v>
      </c>
      <c r="BF77" s="304">
        <f t="shared" si="45"/>
        <v>0</v>
      </c>
      <c r="BG77" s="304">
        <f t="shared" si="59"/>
        <v>0</v>
      </c>
      <c r="BH77" s="304">
        <f t="shared" si="60"/>
        <v>0</v>
      </c>
      <c r="BI77" s="304">
        <f t="shared" si="61"/>
        <v>0</v>
      </c>
    </row>
    <row r="78" spans="2:61" ht="150" x14ac:dyDescent="0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89"/>
      <c r="M78" s="89"/>
      <c r="N78" s="115"/>
      <c r="O78" s="115"/>
      <c r="P78" s="278">
        <f t="shared" si="62"/>
        <v>83</v>
      </c>
      <c r="Q78" s="68" t="s">
        <v>246</v>
      </c>
      <c r="R78" s="277">
        <v>83</v>
      </c>
      <c r="S78" s="319" t="s">
        <v>326</v>
      </c>
      <c r="T78" s="319"/>
      <c r="U78" s="304">
        <v>131</v>
      </c>
      <c r="V78" s="306" t="s">
        <v>4</v>
      </c>
      <c r="W78" s="319" t="s">
        <v>381</v>
      </c>
      <c r="X78" s="304">
        <v>131</v>
      </c>
      <c r="AP78" s="304">
        <f t="shared" si="64"/>
        <v>0</v>
      </c>
      <c r="AQ78" s="304">
        <f t="shared" si="63"/>
        <v>0</v>
      </c>
      <c r="AR78" s="304">
        <f t="shared" si="54"/>
        <v>0</v>
      </c>
      <c r="AS78" s="304">
        <f t="shared" si="55"/>
        <v>0</v>
      </c>
      <c r="AU78" s="304" t="e">
        <f>VLOOKUP(AR78,'Priority rules'!$U$15:$V$32,2,FALSE)</f>
        <v>#N/A</v>
      </c>
      <c r="AV78" s="304" t="e">
        <f t="shared" si="40"/>
        <v>#N/A</v>
      </c>
      <c r="AW78" s="304" t="b">
        <f t="shared" si="41"/>
        <v>0</v>
      </c>
      <c r="AX78" s="304">
        <f t="shared" si="42"/>
        <v>0</v>
      </c>
      <c r="AY78" s="304">
        <f t="shared" si="56"/>
        <v>0</v>
      </c>
      <c r="AZ78" s="304">
        <f t="shared" si="57"/>
        <v>0</v>
      </c>
      <c r="BA78" s="304">
        <f t="shared" si="50"/>
        <v>0</v>
      </c>
      <c r="BB78" s="304">
        <f t="shared" si="53"/>
        <v>0</v>
      </c>
      <c r="BC78" s="304">
        <f t="shared" si="58"/>
        <v>0</v>
      </c>
      <c r="BD78" s="304">
        <f t="shared" si="43"/>
        <v>0</v>
      </c>
      <c r="BE78" s="304">
        <f t="shared" si="44"/>
        <v>0</v>
      </c>
      <c r="BF78" s="304">
        <f t="shared" si="45"/>
        <v>0</v>
      </c>
      <c r="BG78" s="304">
        <f t="shared" si="59"/>
        <v>0</v>
      </c>
      <c r="BH78" s="304">
        <f t="shared" si="60"/>
        <v>0</v>
      </c>
      <c r="BI78" s="304">
        <f t="shared" si="61"/>
        <v>0</v>
      </c>
    </row>
    <row r="79" spans="2:61" ht="105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89"/>
      <c r="M79" s="89"/>
      <c r="N79" s="115"/>
      <c r="O79" s="115"/>
      <c r="P79" s="278">
        <f t="shared" si="62"/>
        <v>82</v>
      </c>
      <c r="Q79" s="68" t="s">
        <v>248</v>
      </c>
      <c r="R79" s="277">
        <v>82</v>
      </c>
      <c r="S79" s="319" t="s">
        <v>327</v>
      </c>
      <c r="T79" s="319"/>
      <c r="U79" s="304">
        <v>130</v>
      </c>
      <c r="V79" s="306" t="s">
        <v>11</v>
      </c>
      <c r="W79" s="319" t="s">
        <v>382</v>
      </c>
      <c r="X79" s="304">
        <v>130</v>
      </c>
      <c r="AP79" s="304">
        <f t="shared" si="64"/>
        <v>0</v>
      </c>
      <c r="AQ79" s="304">
        <f t="shared" si="63"/>
        <v>0</v>
      </c>
      <c r="AR79" s="304">
        <f t="shared" si="54"/>
        <v>0</v>
      </c>
      <c r="AS79" s="304">
        <f t="shared" si="55"/>
        <v>0</v>
      </c>
      <c r="AU79" s="304" t="e">
        <f>VLOOKUP(AR79,'Priority rules'!$U$15:$V$32,2,FALSE)</f>
        <v>#N/A</v>
      </c>
      <c r="AV79" s="304" t="e">
        <f t="shared" si="40"/>
        <v>#N/A</v>
      </c>
      <c r="AW79" s="304" t="b">
        <f t="shared" si="41"/>
        <v>0</v>
      </c>
      <c r="AX79" s="304">
        <f t="shared" si="42"/>
        <v>0</v>
      </c>
      <c r="AY79" s="304">
        <f t="shared" si="56"/>
        <v>0</v>
      </c>
      <c r="AZ79" s="304">
        <f t="shared" si="57"/>
        <v>0</v>
      </c>
      <c r="BA79" s="304">
        <f t="shared" si="50"/>
        <v>0</v>
      </c>
      <c r="BB79" s="304">
        <f t="shared" si="53"/>
        <v>0</v>
      </c>
      <c r="BC79" s="304">
        <f t="shared" si="58"/>
        <v>0</v>
      </c>
      <c r="BD79" s="304">
        <f t="shared" si="43"/>
        <v>0</v>
      </c>
      <c r="BE79" s="304">
        <f t="shared" si="44"/>
        <v>0</v>
      </c>
      <c r="BF79" s="304">
        <f t="shared" si="45"/>
        <v>0</v>
      </c>
      <c r="BG79" s="304">
        <f t="shared" si="59"/>
        <v>0</v>
      </c>
      <c r="BH79" s="304">
        <f t="shared" si="60"/>
        <v>0</v>
      </c>
      <c r="BI79" s="304">
        <f t="shared" si="61"/>
        <v>0</v>
      </c>
    </row>
    <row r="80" spans="2:61" ht="120" x14ac:dyDescent="0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89"/>
      <c r="M80" s="89"/>
      <c r="N80" s="115"/>
      <c r="O80" s="115"/>
      <c r="P80" s="278">
        <f t="shared" si="62"/>
        <v>81</v>
      </c>
      <c r="Q80" s="68" t="s">
        <v>10</v>
      </c>
      <c r="R80" s="277">
        <v>81</v>
      </c>
      <c r="S80" s="319" t="s">
        <v>328</v>
      </c>
      <c r="T80" s="319"/>
      <c r="U80" s="304">
        <v>129</v>
      </c>
      <c r="V80" s="306" t="s">
        <v>16</v>
      </c>
      <c r="W80" s="319" t="s">
        <v>383</v>
      </c>
      <c r="X80" s="304">
        <v>129</v>
      </c>
      <c r="AP80" s="304">
        <f t="shared" si="64"/>
        <v>0</v>
      </c>
      <c r="AQ80" s="304">
        <f t="shared" si="63"/>
        <v>0</v>
      </c>
      <c r="AR80" s="304">
        <f t="shared" si="54"/>
        <v>0</v>
      </c>
      <c r="AS80" s="304">
        <f t="shared" si="55"/>
        <v>0</v>
      </c>
      <c r="AU80" s="304" t="e">
        <f>VLOOKUP(AR80,'Priority rules'!$U$15:$V$32,2,FALSE)</f>
        <v>#N/A</v>
      </c>
      <c r="AV80" s="304" t="e">
        <f t="shared" si="40"/>
        <v>#N/A</v>
      </c>
      <c r="AW80" s="304" t="b">
        <f t="shared" si="41"/>
        <v>0</v>
      </c>
      <c r="AX80" s="304">
        <f t="shared" si="42"/>
        <v>0</v>
      </c>
      <c r="AY80" s="304">
        <f t="shared" si="56"/>
        <v>0</v>
      </c>
      <c r="AZ80" s="304">
        <f t="shared" si="57"/>
        <v>0</v>
      </c>
      <c r="BA80" s="304">
        <f t="shared" si="50"/>
        <v>0</v>
      </c>
      <c r="BB80" s="304">
        <f t="shared" si="53"/>
        <v>0</v>
      </c>
      <c r="BC80" s="304">
        <f t="shared" si="58"/>
        <v>0</v>
      </c>
      <c r="BD80" s="304">
        <f t="shared" si="43"/>
        <v>0</v>
      </c>
      <c r="BE80" s="304">
        <f t="shared" si="44"/>
        <v>0</v>
      </c>
      <c r="BF80" s="304">
        <f t="shared" si="45"/>
        <v>0</v>
      </c>
      <c r="BG80" s="304">
        <f t="shared" si="59"/>
        <v>0</v>
      </c>
      <c r="BH80" s="304">
        <f t="shared" si="60"/>
        <v>0</v>
      </c>
      <c r="BI80" s="304">
        <f t="shared" si="61"/>
        <v>0</v>
      </c>
    </row>
    <row r="81" spans="2:61" ht="120" x14ac:dyDescent="0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89"/>
      <c r="M81" s="89"/>
      <c r="N81" s="115"/>
      <c r="O81" s="115"/>
      <c r="P81" s="278">
        <f t="shared" si="62"/>
        <v>80</v>
      </c>
      <c r="Q81" s="68" t="s">
        <v>249</v>
      </c>
      <c r="R81" s="277">
        <v>80</v>
      </c>
      <c r="S81" s="319" t="s">
        <v>329</v>
      </c>
      <c r="T81" s="319"/>
      <c r="U81" s="304">
        <v>128</v>
      </c>
      <c r="V81" s="306" t="s">
        <v>59</v>
      </c>
      <c r="W81" s="319" t="s">
        <v>384</v>
      </c>
      <c r="X81" s="304">
        <v>128</v>
      </c>
      <c r="AP81" s="304">
        <f t="shared" si="64"/>
        <v>0</v>
      </c>
      <c r="AQ81" s="304">
        <f t="shared" si="63"/>
        <v>0</v>
      </c>
      <c r="AR81" s="304">
        <f t="shared" si="54"/>
        <v>0</v>
      </c>
      <c r="AS81" s="304">
        <f t="shared" si="55"/>
        <v>0</v>
      </c>
      <c r="AU81" s="304" t="e">
        <f>VLOOKUP(AR81,'Priority rules'!$U$15:$V$32,2,FALSE)</f>
        <v>#N/A</v>
      </c>
      <c r="AV81" s="304" t="e">
        <f t="shared" si="40"/>
        <v>#N/A</v>
      </c>
      <c r="AW81" s="304" t="b">
        <f t="shared" si="41"/>
        <v>0</v>
      </c>
      <c r="AX81" s="304">
        <f t="shared" si="42"/>
        <v>0</v>
      </c>
      <c r="AY81" s="304">
        <f t="shared" si="56"/>
        <v>0</v>
      </c>
      <c r="AZ81" s="304">
        <f t="shared" si="57"/>
        <v>0</v>
      </c>
      <c r="BA81" s="304">
        <f t="shared" si="50"/>
        <v>0</v>
      </c>
      <c r="BB81" s="304">
        <f t="shared" si="53"/>
        <v>0</v>
      </c>
      <c r="BC81" s="304">
        <f t="shared" si="58"/>
        <v>0</v>
      </c>
      <c r="BD81" s="304">
        <f t="shared" si="43"/>
        <v>0</v>
      </c>
      <c r="BE81" s="304">
        <f t="shared" si="44"/>
        <v>0</v>
      </c>
      <c r="BF81" s="304">
        <f t="shared" si="45"/>
        <v>0</v>
      </c>
      <c r="BG81" s="304">
        <f t="shared" si="59"/>
        <v>0</v>
      </c>
      <c r="BH81" s="304">
        <f t="shared" si="60"/>
        <v>0</v>
      </c>
      <c r="BI81" s="304">
        <f t="shared" si="61"/>
        <v>0</v>
      </c>
    </row>
    <row r="82" spans="2:61" ht="60" x14ac:dyDescent="0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89"/>
      <c r="M82" s="89"/>
      <c r="N82" s="115"/>
      <c r="O82" s="115"/>
      <c r="P82" s="278">
        <f t="shared" si="62"/>
        <v>79</v>
      </c>
      <c r="Q82" s="68" t="s">
        <v>14</v>
      </c>
      <c r="R82" s="277">
        <v>79</v>
      </c>
      <c r="S82" s="319" t="s">
        <v>330</v>
      </c>
      <c r="T82" s="319"/>
      <c r="U82" s="304">
        <v>127</v>
      </c>
      <c r="V82" s="306" t="s">
        <v>44</v>
      </c>
      <c r="W82" s="319" t="s">
        <v>385</v>
      </c>
      <c r="X82" s="304">
        <v>127</v>
      </c>
      <c r="AP82" s="304">
        <f t="shared" si="64"/>
        <v>0</v>
      </c>
      <c r="AQ82" s="304">
        <f t="shared" si="63"/>
        <v>0</v>
      </c>
      <c r="AR82" s="304">
        <f t="shared" si="54"/>
        <v>0</v>
      </c>
      <c r="AS82" s="304">
        <f t="shared" si="55"/>
        <v>0</v>
      </c>
      <c r="AU82" s="304" t="e">
        <f>VLOOKUP(AR82,'Priority rules'!$U$15:$V$32,2,FALSE)</f>
        <v>#N/A</v>
      </c>
      <c r="AV82" s="304" t="e">
        <f t="shared" si="40"/>
        <v>#N/A</v>
      </c>
      <c r="AW82" s="304" t="b">
        <f t="shared" si="41"/>
        <v>0</v>
      </c>
      <c r="AX82" s="304">
        <f t="shared" si="42"/>
        <v>0</v>
      </c>
      <c r="AY82" s="304">
        <f t="shared" si="56"/>
        <v>0</v>
      </c>
      <c r="AZ82" s="304">
        <f t="shared" si="57"/>
        <v>0</v>
      </c>
      <c r="BA82" s="304">
        <f t="shared" si="50"/>
        <v>0</v>
      </c>
      <c r="BB82" s="304">
        <f t="shared" si="53"/>
        <v>0</v>
      </c>
      <c r="BC82" s="304">
        <f t="shared" si="58"/>
        <v>0</v>
      </c>
      <c r="BD82" s="304">
        <f t="shared" si="43"/>
        <v>0</v>
      </c>
      <c r="BE82" s="304">
        <f t="shared" si="44"/>
        <v>0</v>
      </c>
      <c r="BF82" s="304">
        <f t="shared" si="45"/>
        <v>0</v>
      </c>
      <c r="BG82" s="304">
        <f t="shared" si="59"/>
        <v>0</v>
      </c>
      <c r="BH82" s="304">
        <f t="shared" si="60"/>
        <v>0</v>
      </c>
      <c r="BI82" s="304">
        <f t="shared" si="61"/>
        <v>0</v>
      </c>
    </row>
    <row r="83" spans="2:61" ht="225" x14ac:dyDescent="0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89"/>
      <c r="M83" s="89"/>
      <c r="N83" s="115"/>
      <c r="O83" s="115"/>
      <c r="P83" s="278">
        <f t="shared" si="62"/>
        <v>78</v>
      </c>
      <c r="Q83" s="68" t="s">
        <v>25</v>
      </c>
      <c r="R83" s="277">
        <v>78</v>
      </c>
      <c r="S83" s="319" t="s">
        <v>331</v>
      </c>
      <c r="T83" s="319"/>
      <c r="U83" s="304">
        <v>126</v>
      </c>
      <c r="V83" s="306" t="s">
        <v>54</v>
      </c>
      <c r="W83" s="319" t="s">
        <v>386</v>
      </c>
      <c r="X83" s="304">
        <v>126</v>
      </c>
      <c r="AP83" s="304">
        <f t="shared" si="64"/>
        <v>0</v>
      </c>
      <c r="AQ83" s="304">
        <f t="shared" si="63"/>
        <v>0</v>
      </c>
      <c r="AR83" s="304">
        <f t="shared" si="54"/>
        <v>0</v>
      </c>
      <c r="AS83" s="304">
        <f t="shared" si="55"/>
        <v>0</v>
      </c>
      <c r="AU83" s="304" t="e">
        <f>VLOOKUP(AR83,'Priority rules'!$U$15:$V$32,2,FALSE)</f>
        <v>#N/A</v>
      </c>
      <c r="AV83" s="304" t="e">
        <f t="shared" si="40"/>
        <v>#N/A</v>
      </c>
      <c r="AW83" s="304" t="b">
        <f t="shared" si="41"/>
        <v>0</v>
      </c>
      <c r="AX83" s="304">
        <f t="shared" si="42"/>
        <v>0</v>
      </c>
      <c r="AY83" s="304">
        <f t="shared" si="56"/>
        <v>0</v>
      </c>
      <c r="AZ83" s="304">
        <f t="shared" si="57"/>
        <v>0</v>
      </c>
      <c r="BA83" s="304">
        <f t="shared" si="50"/>
        <v>0</v>
      </c>
      <c r="BB83" s="304">
        <f t="shared" si="53"/>
        <v>0</v>
      </c>
      <c r="BC83" s="304">
        <f t="shared" si="58"/>
        <v>0</v>
      </c>
      <c r="BD83" s="304">
        <f t="shared" si="43"/>
        <v>0</v>
      </c>
      <c r="BE83" s="304">
        <f t="shared" si="44"/>
        <v>0</v>
      </c>
      <c r="BF83" s="304">
        <f t="shared" si="45"/>
        <v>0</v>
      </c>
      <c r="BG83" s="304">
        <f t="shared" si="59"/>
        <v>0</v>
      </c>
      <c r="BH83" s="304">
        <f t="shared" si="60"/>
        <v>0</v>
      </c>
      <c r="BI83" s="304">
        <f t="shared" si="61"/>
        <v>0</v>
      </c>
    </row>
    <row r="84" spans="2:61" ht="75" x14ac:dyDescent="0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89"/>
      <c r="M84" s="89"/>
      <c r="N84" s="115"/>
      <c r="O84" s="115"/>
      <c r="P84" s="278">
        <f t="shared" si="62"/>
        <v>77</v>
      </c>
      <c r="Q84" s="68" t="s">
        <v>33</v>
      </c>
      <c r="R84" s="277">
        <v>77</v>
      </c>
      <c r="S84" s="319" t="s">
        <v>332</v>
      </c>
      <c r="T84" s="319"/>
      <c r="U84" s="304">
        <v>125</v>
      </c>
      <c r="V84" s="306" t="s">
        <v>387</v>
      </c>
      <c r="W84" s="319" t="s">
        <v>388</v>
      </c>
      <c r="X84" s="304">
        <v>125</v>
      </c>
      <c r="AP84" s="304">
        <f t="shared" si="64"/>
        <v>0</v>
      </c>
      <c r="AQ84" s="304">
        <f t="shared" si="63"/>
        <v>0</v>
      </c>
      <c r="AR84" s="304">
        <f t="shared" si="54"/>
        <v>0</v>
      </c>
      <c r="AS84" s="304">
        <f t="shared" si="55"/>
        <v>0</v>
      </c>
      <c r="AU84" s="304" t="e">
        <f>VLOOKUP(AR84,'Priority rules'!$U$15:$V$32,2,FALSE)</f>
        <v>#N/A</v>
      </c>
      <c r="AV84" s="304" t="e">
        <f t="shared" si="40"/>
        <v>#N/A</v>
      </c>
      <c r="AW84" s="304" t="b">
        <f t="shared" si="41"/>
        <v>0</v>
      </c>
      <c r="AX84" s="304">
        <f t="shared" si="42"/>
        <v>0</v>
      </c>
      <c r="AY84" s="304">
        <f t="shared" si="56"/>
        <v>0</v>
      </c>
      <c r="AZ84" s="304">
        <f t="shared" si="57"/>
        <v>0</v>
      </c>
      <c r="BA84" s="304">
        <f t="shared" si="50"/>
        <v>0</v>
      </c>
      <c r="BB84" s="304">
        <f t="shared" si="53"/>
        <v>0</v>
      </c>
      <c r="BC84" s="304">
        <f t="shared" si="58"/>
        <v>0</v>
      </c>
      <c r="BD84" s="304">
        <f t="shared" si="43"/>
        <v>0</v>
      </c>
      <c r="BE84" s="304">
        <f t="shared" si="44"/>
        <v>0</v>
      </c>
      <c r="BF84" s="304">
        <f t="shared" si="45"/>
        <v>0</v>
      </c>
      <c r="BG84" s="304">
        <f t="shared" si="59"/>
        <v>0</v>
      </c>
      <c r="BH84" s="304">
        <f t="shared" si="60"/>
        <v>0</v>
      </c>
      <c r="BI84" s="304">
        <f t="shared" si="61"/>
        <v>0</v>
      </c>
    </row>
    <row r="85" spans="2:61" ht="60" x14ac:dyDescent="0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89"/>
      <c r="M85" s="89"/>
      <c r="N85" s="115"/>
      <c r="O85" s="115"/>
      <c r="P85" s="278">
        <f t="shared" si="62"/>
        <v>76</v>
      </c>
      <c r="Q85" s="68" t="s">
        <v>34</v>
      </c>
      <c r="R85" s="277">
        <v>76</v>
      </c>
      <c r="S85" s="319" t="s">
        <v>333</v>
      </c>
      <c r="T85" s="319"/>
      <c r="U85" s="304">
        <v>124</v>
      </c>
      <c r="V85" s="306" t="s">
        <v>313</v>
      </c>
      <c r="W85" s="319" t="s">
        <v>389</v>
      </c>
      <c r="X85" s="304">
        <v>124</v>
      </c>
      <c r="AP85" s="304">
        <f t="shared" si="64"/>
        <v>0</v>
      </c>
      <c r="AQ85" s="304">
        <f t="shared" si="63"/>
        <v>0</v>
      </c>
      <c r="AR85" s="304">
        <f t="shared" si="54"/>
        <v>0</v>
      </c>
      <c r="AS85" s="304">
        <f t="shared" si="55"/>
        <v>0</v>
      </c>
      <c r="AU85" s="304" t="e">
        <f>VLOOKUP(AR85,'Priority rules'!$U$15:$V$32,2,FALSE)</f>
        <v>#N/A</v>
      </c>
      <c r="AV85" s="304" t="e">
        <f t="shared" si="40"/>
        <v>#N/A</v>
      </c>
      <c r="AW85" s="304" t="b">
        <f t="shared" si="41"/>
        <v>0</v>
      </c>
      <c r="AX85" s="304">
        <f t="shared" si="42"/>
        <v>0</v>
      </c>
      <c r="AY85" s="304">
        <f t="shared" si="56"/>
        <v>0</v>
      </c>
      <c r="AZ85" s="304">
        <f t="shared" si="57"/>
        <v>0</v>
      </c>
      <c r="BA85" s="304">
        <f t="shared" si="50"/>
        <v>0</v>
      </c>
      <c r="BB85" s="304">
        <f t="shared" si="53"/>
        <v>0</v>
      </c>
      <c r="BC85" s="304">
        <f t="shared" si="58"/>
        <v>0</v>
      </c>
      <c r="BD85" s="304">
        <f t="shared" si="43"/>
        <v>0</v>
      </c>
      <c r="BE85" s="304">
        <f t="shared" si="44"/>
        <v>0</v>
      </c>
      <c r="BF85" s="304">
        <f t="shared" si="45"/>
        <v>0</v>
      </c>
      <c r="BG85" s="304">
        <f t="shared" si="59"/>
        <v>0</v>
      </c>
      <c r="BH85" s="304">
        <f t="shared" si="60"/>
        <v>0</v>
      </c>
      <c r="BI85" s="304">
        <f t="shared" si="61"/>
        <v>0</v>
      </c>
    </row>
    <row r="86" spans="2:61" ht="105" x14ac:dyDescent="0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89"/>
      <c r="M86" s="89"/>
      <c r="N86" s="115"/>
      <c r="O86" s="115"/>
      <c r="P86" s="278">
        <f t="shared" si="62"/>
        <v>75</v>
      </c>
      <c r="Q86" s="68" t="s">
        <v>35</v>
      </c>
      <c r="R86" s="277">
        <v>75</v>
      </c>
      <c r="S86" s="319" t="s">
        <v>334</v>
      </c>
      <c r="T86" s="319"/>
      <c r="U86" s="304">
        <v>123</v>
      </c>
      <c r="V86" s="306" t="s">
        <v>55</v>
      </c>
      <c r="W86" s="319" t="s">
        <v>390</v>
      </c>
      <c r="X86" s="304">
        <v>123</v>
      </c>
      <c r="AP86" s="304">
        <f t="shared" si="64"/>
        <v>0</v>
      </c>
      <c r="AQ86" s="304">
        <f t="shared" si="63"/>
        <v>0</v>
      </c>
      <c r="AR86" s="304">
        <f t="shared" si="54"/>
        <v>0</v>
      </c>
      <c r="AS86" s="304">
        <f t="shared" si="55"/>
        <v>0</v>
      </c>
      <c r="AU86" s="304" t="e">
        <f>VLOOKUP(AR86,'Priority rules'!$U$15:$V$32,2,FALSE)</f>
        <v>#N/A</v>
      </c>
      <c r="AV86" s="304" t="e">
        <f t="shared" si="40"/>
        <v>#N/A</v>
      </c>
      <c r="AW86" s="304" t="b">
        <f t="shared" si="41"/>
        <v>0</v>
      </c>
      <c r="AX86" s="304">
        <f t="shared" si="42"/>
        <v>0</v>
      </c>
      <c r="AY86" s="304">
        <f t="shared" si="56"/>
        <v>0</v>
      </c>
      <c r="AZ86" s="304">
        <f t="shared" si="57"/>
        <v>0</v>
      </c>
      <c r="BA86" s="304">
        <f t="shared" si="50"/>
        <v>0</v>
      </c>
      <c r="BB86" s="304">
        <f t="shared" si="53"/>
        <v>0</v>
      </c>
      <c r="BC86" s="304">
        <f t="shared" si="58"/>
        <v>0</v>
      </c>
      <c r="BD86" s="304">
        <f t="shared" si="43"/>
        <v>0</v>
      </c>
      <c r="BE86" s="304">
        <f t="shared" si="44"/>
        <v>0</v>
      </c>
      <c r="BF86" s="304">
        <f t="shared" si="45"/>
        <v>0</v>
      </c>
      <c r="BG86" s="304">
        <f t="shared" si="59"/>
        <v>0</v>
      </c>
      <c r="BH86" s="304">
        <f t="shared" si="60"/>
        <v>0</v>
      </c>
      <c r="BI86" s="304">
        <f t="shared" si="61"/>
        <v>0</v>
      </c>
    </row>
    <row r="87" spans="2:61" ht="75" x14ac:dyDescent="0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89"/>
      <c r="M87" s="89"/>
      <c r="N87" s="115"/>
      <c r="O87" s="115"/>
      <c r="P87" s="278">
        <f t="shared" si="62"/>
        <v>74</v>
      </c>
      <c r="Q87" s="68" t="s">
        <v>36</v>
      </c>
      <c r="R87" s="277">
        <v>74</v>
      </c>
      <c r="S87" s="319" t="s">
        <v>335</v>
      </c>
      <c r="T87" s="319"/>
      <c r="U87" s="304">
        <v>122</v>
      </c>
      <c r="V87" s="306" t="s">
        <v>391</v>
      </c>
      <c r="W87" s="319" t="s">
        <v>392</v>
      </c>
      <c r="X87" s="304">
        <v>122</v>
      </c>
      <c r="AP87" s="304">
        <f t="shared" si="64"/>
        <v>0</v>
      </c>
      <c r="AQ87" s="304">
        <f t="shared" si="63"/>
        <v>0</v>
      </c>
      <c r="AR87" s="304">
        <f t="shared" si="54"/>
        <v>0</v>
      </c>
      <c r="AS87" s="304">
        <f t="shared" si="55"/>
        <v>0</v>
      </c>
      <c r="AU87" s="304" t="e">
        <f>VLOOKUP(AR87,'Priority rules'!$U$15:$V$32,2,FALSE)</f>
        <v>#N/A</v>
      </c>
      <c r="AV87" s="304" t="e">
        <f t="shared" si="40"/>
        <v>#N/A</v>
      </c>
      <c r="AW87" s="304" t="b">
        <f t="shared" si="41"/>
        <v>0</v>
      </c>
      <c r="AX87" s="304">
        <f t="shared" si="42"/>
        <v>0</v>
      </c>
      <c r="AY87" s="304">
        <f t="shared" si="56"/>
        <v>0</v>
      </c>
      <c r="AZ87" s="304">
        <f t="shared" si="57"/>
        <v>0</v>
      </c>
      <c r="BA87" s="304">
        <f t="shared" si="50"/>
        <v>0</v>
      </c>
      <c r="BB87" s="304">
        <f t="shared" si="53"/>
        <v>0</v>
      </c>
      <c r="BC87" s="304">
        <f t="shared" si="58"/>
        <v>0</v>
      </c>
      <c r="BD87" s="304">
        <f t="shared" si="43"/>
        <v>0</v>
      </c>
      <c r="BE87" s="304">
        <f t="shared" si="44"/>
        <v>0</v>
      </c>
      <c r="BF87" s="304">
        <f t="shared" si="45"/>
        <v>0</v>
      </c>
      <c r="BG87" s="304">
        <f t="shared" si="59"/>
        <v>0</v>
      </c>
      <c r="BH87" s="304">
        <f t="shared" si="60"/>
        <v>0</v>
      </c>
      <c r="BI87" s="304">
        <f t="shared" si="61"/>
        <v>0</v>
      </c>
    </row>
    <row r="88" spans="2:61" ht="90" x14ac:dyDescent="0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89"/>
      <c r="M88" s="89"/>
      <c r="N88" s="115"/>
      <c r="O88" s="115"/>
      <c r="P88" s="278">
        <f t="shared" si="62"/>
        <v>73</v>
      </c>
      <c r="Q88" s="68" t="s">
        <v>41</v>
      </c>
      <c r="R88" s="277">
        <v>73</v>
      </c>
      <c r="S88" s="319" t="s">
        <v>336</v>
      </c>
      <c r="T88" s="319"/>
      <c r="U88" s="304">
        <v>121</v>
      </c>
      <c r="V88" s="306" t="s">
        <v>26</v>
      </c>
      <c r="W88" s="319" t="s">
        <v>393</v>
      </c>
      <c r="X88" s="304">
        <v>121</v>
      </c>
      <c r="AP88" s="304">
        <f t="shared" si="64"/>
        <v>0</v>
      </c>
      <c r="AQ88" s="304">
        <f t="shared" si="63"/>
        <v>0</v>
      </c>
      <c r="AR88" s="304">
        <f t="shared" si="54"/>
        <v>0</v>
      </c>
      <c r="AS88" s="304">
        <f t="shared" si="55"/>
        <v>0</v>
      </c>
      <c r="AU88" s="304" t="e">
        <f>VLOOKUP(AR88,'Priority rules'!$U$15:$V$32,2,FALSE)</f>
        <v>#N/A</v>
      </c>
      <c r="AV88" s="304" t="e">
        <f t="shared" si="40"/>
        <v>#N/A</v>
      </c>
      <c r="AW88" s="304" t="b">
        <f t="shared" si="41"/>
        <v>0</v>
      </c>
      <c r="AX88" s="304">
        <f t="shared" si="42"/>
        <v>0</v>
      </c>
      <c r="AY88" s="304">
        <f t="shared" si="56"/>
        <v>0</v>
      </c>
      <c r="AZ88" s="304">
        <f t="shared" si="57"/>
        <v>0</v>
      </c>
      <c r="BA88" s="304">
        <f t="shared" si="50"/>
        <v>0</v>
      </c>
      <c r="BB88" s="304">
        <f t="shared" si="53"/>
        <v>0</v>
      </c>
      <c r="BC88" s="304">
        <f t="shared" si="58"/>
        <v>0</v>
      </c>
      <c r="BD88" s="304">
        <f t="shared" si="43"/>
        <v>0</v>
      </c>
      <c r="BE88" s="304">
        <f t="shared" si="44"/>
        <v>0</v>
      </c>
      <c r="BF88" s="304">
        <f t="shared" si="45"/>
        <v>0</v>
      </c>
      <c r="BG88" s="304">
        <f t="shared" si="59"/>
        <v>0</v>
      </c>
      <c r="BH88" s="304">
        <f t="shared" si="60"/>
        <v>0</v>
      </c>
      <c r="BI88" s="304">
        <f t="shared" si="61"/>
        <v>0</v>
      </c>
    </row>
    <row r="89" spans="2:61" ht="75" x14ac:dyDescent="0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89"/>
      <c r="M89" s="89"/>
      <c r="N89" s="115"/>
      <c r="O89" s="115"/>
      <c r="P89" s="278">
        <f t="shared" si="62"/>
        <v>72</v>
      </c>
      <c r="Q89" s="68" t="s">
        <v>42</v>
      </c>
      <c r="R89" s="277">
        <v>72</v>
      </c>
      <c r="S89" s="319" t="s">
        <v>337</v>
      </c>
      <c r="T89" s="319"/>
      <c r="U89" s="304">
        <v>120</v>
      </c>
      <c r="V89" s="306" t="s">
        <v>37</v>
      </c>
      <c r="W89" s="319" t="s">
        <v>394</v>
      </c>
      <c r="X89" s="304">
        <v>120</v>
      </c>
      <c r="AP89" s="304">
        <f t="shared" si="64"/>
        <v>0</v>
      </c>
      <c r="AQ89" s="304">
        <f t="shared" si="63"/>
        <v>0</v>
      </c>
      <c r="AR89" s="304">
        <f t="shared" si="54"/>
        <v>0</v>
      </c>
      <c r="AS89" s="304">
        <f t="shared" si="55"/>
        <v>0</v>
      </c>
      <c r="AU89" s="304" t="e">
        <f>VLOOKUP(AR89,'Priority rules'!$U$15:$V$32,2,FALSE)</f>
        <v>#N/A</v>
      </c>
      <c r="AV89" s="304" t="e">
        <f t="shared" si="40"/>
        <v>#N/A</v>
      </c>
      <c r="AW89" s="304" t="b">
        <f t="shared" si="41"/>
        <v>0</v>
      </c>
      <c r="AX89" s="304">
        <f t="shared" si="42"/>
        <v>0</v>
      </c>
      <c r="AY89" s="304">
        <f t="shared" si="56"/>
        <v>0</v>
      </c>
      <c r="AZ89" s="304">
        <f t="shared" si="57"/>
        <v>0</v>
      </c>
      <c r="BA89" s="304">
        <f t="shared" si="50"/>
        <v>0</v>
      </c>
      <c r="BB89" s="304">
        <f t="shared" si="53"/>
        <v>0</v>
      </c>
      <c r="BC89" s="304">
        <f t="shared" si="58"/>
        <v>0</v>
      </c>
      <c r="BD89" s="304">
        <f t="shared" si="43"/>
        <v>0</v>
      </c>
      <c r="BE89" s="304">
        <f t="shared" si="44"/>
        <v>0</v>
      </c>
      <c r="BF89" s="304">
        <f t="shared" si="45"/>
        <v>0</v>
      </c>
      <c r="BG89" s="304">
        <f t="shared" si="59"/>
        <v>0</v>
      </c>
      <c r="BH89" s="304">
        <f t="shared" si="60"/>
        <v>0</v>
      </c>
      <c r="BI89" s="304">
        <f t="shared" si="61"/>
        <v>0</v>
      </c>
    </row>
    <row r="90" spans="2:61" ht="90" x14ac:dyDescent="0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89"/>
      <c r="M90" s="89"/>
      <c r="N90" s="115"/>
      <c r="O90" s="115"/>
      <c r="P90" s="278">
        <f t="shared" si="62"/>
        <v>71</v>
      </c>
      <c r="Q90" s="68" t="s">
        <v>43</v>
      </c>
      <c r="R90" s="277">
        <v>71</v>
      </c>
      <c r="S90" s="319" t="s">
        <v>338</v>
      </c>
      <c r="T90" s="319"/>
      <c r="U90" s="304">
        <v>119</v>
      </c>
      <c r="V90" s="306" t="s">
        <v>395</v>
      </c>
      <c r="W90" s="319" t="s">
        <v>396</v>
      </c>
      <c r="X90" s="304">
        <v>119</v>
      </c>
      <c r="AP90" s="304">
        <f t="shared" si="64"/>
        <v>0</v>
      </c>
      <c r="AQ90" s="304">
        <f t="shared" si="63"/>
        <v>0</v>
      </c>
      <c r="AR90" s="304">
        <f t="shared" si="54"/>
        <v>0</v>
      </c>
      <c r="AS90" s="304">
        <f t="shared" si="55"/>
        <v>0</v>
      </c>
      <c r="AU90" s="304" t="e">
        <f>VLOOKUP(AR90,'Priority rules'!$U$15:$V$32,2,FALSE)</f>
        <v>#N/A</v>
      </c>
      <c r="AV90" s="304" t="e">
        <f t="shared" si="40"/>
        <v>#N/A</v>
      </c>
      <c r="AW90" s="304" t="b">
        <f t="shared" si="41"/>
        <v>0</v>
      </c>
      <c r="AX90" s="304">
        <f t="shared" si="42"/>
        <v>0</v>
      </c>
      <c r="AY90" s="304">
        <f t="shared" si="56"/>
        <v>0</v>
      </c>
      <c r="AZ90" s="304">
        <f t="shared" si="57"/>
        <v>0</v>
      </c>
      <c r="BA90" s="304">
        <f t="shared" si="50"/>
        <v>0</v>
      </c>
      <c r="BB90" s="304">
        <f t="shared" si="53"/>
        <v>0</v>
      </c>
      <c r="BC90" s="304">
        <f t="shared" si="58"/>
        <v>0</v>
      </c>
      <c r="BD90" s="304">
        <f t="shared" si="43"/>
        <v>0</v>
      </c>
      <c r="BE90" s="304">
        <f t="shared" si="44"/>
        <v>0</v>
      </c>
      <c r="BF90" s="304">
        <f t="shared" si="45"/>
        <v>0</v>
      </c>
      <c r="BG90" s="304">
        <f t="shared" si="59"/>
        <v>0</v>
      </c>
      <c r="BH90" s="304">
        <f t="shared" si="60"/>
        <v>0</v>
      </c>
      <c r="BI90" s="304">
        <f t="shared" si="61"/>
        <v>0</v>
      </c>
    </row>
    <row r="91" spans="2:61" ht="75" x14ac:dyDescent="0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89"/>
      <c r="M91" s="89"/>
      <c r="N91" s="115"/>
      <c r="O91" s="115"/>
      <c r="P91" s="278">
        <f t="shared" si="62"/>
        <v>70</v>
      </c>
      <c r="Q91" s="68" t="s">
        <v>48</v>
      </c>
      <c r="R91" s="277">
        <v>70</v>
      </c>
      <c r="S91" s="319" t="s">
        <v>339</v>
      </c>
      <c r="T91" s="319"/>
      <c r="U91" s="304">
        <v>118</v>
      </c>
      <c r="V91" s="306" t="s">
        <v>49</v>
      </c>
      <c r="W91" s="319" t="s">
        <v>397</v>
      </c>
      <c r="X91" s="304">
        <v>118</v>
      </c>
      <c r="AP91" s="304">
        <f t="shared" si="64"/>
        <v>0</v>
      </c>
      <c r="AQ91" s="304">
        <f t="shared" si="63"/>
        <v>0</v>
      </c>
      <c r="AR91" s="304">
        <f t="shared" si="54"/>
        <v>0</v>
      </c>
      <c r="AS91" s="304">
        <f t="shared" si="55"/>
        <v>0</v>
      </c>
      <c r="AU91" s="304" t="e">
        <f>VLOOKUP(AR91,'Priority rules'!$U$15:$V$32,2,FALSE)</f>
        <v>#N/A</v>
      </c>
      <c r="AV91" s="304" t="e">
        <f t="shared" si="40"/>
        <v>#N/A</v>
      </c>
      <c r="AW91" s="304" t="b">
        <f t="shared" si="41"/>
        <v>0</v>
      </c>
      <c r="AX91" s="304">
        <f t="shared" si="42"/>
        <v>0</v>
      </c>
      <c r="AY91" s="304">
        <f t="shared" si="56"/>
        <v>0</v>
      </c>
      <c r="AZ91" s="304">
        <f t="shared" si="57"/>
        <v>0</v>
      </c>
      <c r="BA91" s="304">
        <f t="shared" si="50"/>
        <v>0</v>
      </c>
      <c r="BB91" s="304">
        <f t="shared" si="53"/>
        <v>0</v>
      </c>
      <c r="BC91" s="304">
        <f t="shared" si="58"/>
        <v>0</v>
      </c>
      <c r="BD91" s="304">
        <f t="shared" si="43"/>
        <v>0</v>
      </c>
      <c r="BE91" s="304">
        <f t="shared" si="44"/>
        <v>0</v>
      </c>
      <c r="BF91" s="304">
        <f t="shared" si="45"/>
        <v>0</v>
      </c>
      <c r="BG91" s="304">
        <f t="shared" si="59"/>
        <v>0</v>
      </c>
      <c r="BH91" s="304">
        <f t="shared" si="60"/>
        <v>0</v>
      </c>
      <c r="BI91" s="304">
        <f t="shared" si="61"/>
        <v>0</v>
      </c>
    </row>
    <row r="92" spans="2:61" ht="105" x14ac:dyDescent="0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89"/>
      <c r="M92" s="89"/>
      <c r="N92" s="115"/>
      <c r="O92" s="115"/>
      <c r="P92" s="278">
        <f t="shared" si="62"/>
        <v>69</v>
      </c>
      <c r="Q92" s="68" t="s">
        <v>52</v>
      </c>
      <c r="R92" s="277">
        <v>69</v>
      </c>
      <c r="S92" s="319" t="s">
        <v>340</v>
      </c>
      <c r="T92" s="319"/>
      <c r="U92" s="304">
        <v>117</v>
      </c>
      <c r="V92" s="306" t="s">
        <v>5</v>
      </c>
      <c r="W92" s="319" t="s">
        <v>398</v>
      </c>
      <c r="X92" s="304">
        <v>117</v>
      </c>
      <c r="AP92" s="304">
        <f t="shared" si="64"/>
        <v>0</v>
      </c>
      <c r="AQ92" s="304">
        <f t="shared" si="63"/>
        <v>0</v>
      </c>
      <c r="AR92" s="304">
        <f t="shared" si="54"/>
        <v>0</v>
      </c>
      <c r="AS92" s="304">
        <f t="shared" si="55"/>
        <v>0</v>
      </c>
      <c r="AU92" s="304" t="e">
        <f>VLOOKUP(AR92,'Priority rules'!$U$15:$V$32,2,FALSE)</f>
        <v>#N/A</v>
      </c>
      <c r="AV92" s="304" t="e">
        <f t="shared" si="40"/>
        <v>#N/A</v>
      </c>
      <c r="AW92" s="304" t="b">
        <f t="shared" si="41"/>
        <v>0</v>
      </c>
      <c r="AX92" s="304">
        <f t="shared" si="42"/>
        <v>0</v>
      </c>
      <c r="AY92" s="304">
        <f t="shared" si="56"/>
        <v>0</v>
      </c>
      <c r="AZ92" s="304">
        <f t="shared" si="57"/>
        <v>0</v>
      </c>
      <c r="BA92" s="304">
        <f t="shared" si="50"/>
        <v>0</v>
      </c>
      <c r="BB92" s="304">
        <f t="shared" si="53"/>
        <v>0</v>
      </c>
      <c r="BC92" s="304">
        <f t="shared" si="58"/>
        <v>0</v>
      </c>
      <c r="BD92" s="304">
        <f t="shared" si="43"/>
        <v>0</v>
      </c>
      <c r="BE92" s="304">
        <f t="shared" si="44"/>
        <v>0</v>
      </c>
      <c r="BF92" s="304">
        <f t="shared" si="45"/>
        <v>0</v>
      </c>
      <c r="BG92" s="304">
        <f t="shared" si="59"/>
        <v>0</v>
      </c>
      <c r="BH92" s="304">
        <f t="shared" si="60"/>
        <v>0</v>
      </c>
      <c r="BI92" s="304">
        <f t="shared" si="61"/>
        <v>0</v>
      </c>
    </row>
    <row r="93" spans="2:61" ht="180" x14ac:dyDescent="0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89"/>
      <c r="M93" s="89"/>
      <c r="N93" s="115"/>
      <c r="O93" s="115"/>
      <c r="P93" s="278">
        <f t="shared" si="62"/>
        <v>68</v>
      </c>
      <c r="Q93" s="68" t="s">
        <v>53</v>
      </c>
      <c r="R93" s="277">
        <v>68</v>
      </c>
      <c r="S93" s="319" t="s">
        <v>341</v>
      </c>
      <c r="T93" s="319"/>
      <c r="U93" s="304">
        <v>116</v>
      </c>
      <c r="V93" s="306" t="s">
        <v>27</v>
      </c>
      <c r="W93" s="319" t="s">
        <v>399</v>
      </c>
      <c r="X93" s="304">
        <v>116</v>
      </c>
      <c r="AP93" s="304">
        <f t="shared" si="64"/>
        <v>0</v>
      </c>
      <c r="AQ93" s="304">
        <f t="shared" si="63"/>
        <v>0</v>
      </c>
      <c r="AR93" s="304">
        <f t="shared" si="54"/>
        <v>0</v>
      </c>
      <c r="AS93" s="304">
        <f t="shared" si="55"/>
        <v>0</v>
      </c>
      <c r="AU93" s="304" t="e">
        <f>VLOOKUP(AR93,'Priority rules'!$U$15:$V$32,2,FALSE)</f>
        <v>#N/A</v>
      </c>
      <c r="AV93" s="304" t="e">
        <f t="shared" si="40"/>
        <v>#N/A</v>
      </c>
      <c r="AW93" s="304" t="b">
        <f t="shared" si="41"/>
        <v>0</v>
      </c>
      <c r="AX93" s="304">
        <f t="shared" si="42"/>
        <v>0</v>
      </c>
      <c r="AY93" s="304">
        <f t="shared" si="56"/>
        <v>0</v>
      </c>
      <c r="AZ93" s="304">
        <f t="shared" si="57"/>
        <v>0</v>
      </c>
      <c r="BA93" s="304">
        <f t="shared" si="50"/>
        <v>0</v>
      </c>
      <c r="BB93" s="304">
        <f t="shared" si="53"/>
        <v>0</v>
      </c>
      <c r="BC93" s="304">
        <f t="shared" si="58"/>
        <v>0</v>
      </c>
      <c r="BD93" s="304">
        <f t="shared" si="43"/>
        <v>0</v>
      </c>
      <c r="BE93" s="304">
        <f t="shared" si="44"/>
        <v>0</v>
      </c>
      <c r="BF93" s="304">
        <f t="shared" si="45"/>
        <v>0</v>
      </c>
      <c r="BG93" s="304">
        <f t="shared" si="59"/>
        <v>0</v>
      </c>
      <c r="BH93" s="304">
        <f t="shared" si="60"/>
        <v>0</v>
      </c>
      <c r="BI93" s="304">
        <f t="shared" si="61"/>
        <v>0</v>
      </c>
    </row>
    <row r="94" spans="2:61" ht="105" x14ac:dyDescent="0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89"/>
      <c r="M94" s="89"/>
      <c r="N94" s="115"/>
      <c r="O94" s="115"/>
      <c r="P94" s="278">
        <f t="shared" si="62"/>
        <v>67</v>
      </c>
      <c r="Q94" s="68" t="s">
        <v>57</v>
      </c>
      <c r="R94" s="277">
        <v>67</v>
      </c>
      <c r="S94" s="319" t="s">
        <v>342</v>
      </c>
      <c r="T94" s="319"/>
      <c r="U94" s="304">
        <v>115</v>
      </c>
      <c r="V94" s="306" t="s">
        <v>28</v>
      </c>
      <c r="W94" s="319" t="s">
        <v>400</v>
      </c>
      <c r="X94" s="304">
        <v>115</v>
      </c>
      <c r="AP94" s="304">
        <f t="shared" si="64"/>
        <v>0</v>
      </c>
      <c r="AQ94" s="304">
        <f t="shared" si="63"/>
        <v>0</v>
      </c>
      <c r="AR94" s="304">
        <f t="shared" ref="AR94:AR125" si="65">LARGE($AP$30:$AP$155,ROW()-ROW($AP$30)+1)</f>
        <v>0</v>
      </c>
      <c r="AS94" s="304">
        <f t="shared" ref="AS94:AS125" si="66">VLOOKUP(AR94,$AP$30:$AQ$155,2,FALSE)</f>
        <v>0</v>
      </c>
      <c r="AU94" s="304" t="e">
        <f>VLOOKUP(AR94,'Priority rules'!$U$15:$V$32,2,FALSE)</f>
        <v>#N/A</v>
      </c>
      <c r="AV94" s="304" t="e">
        <f t="shared" si="40"/>
        <v>#N/A</v>
      </c>
      <c r="AW94" s="304" t="b">
        <f t="shared" si="41"/>
        <v>0</v>
      </c>
      <c r="AX94" s="304">
        <f t="shared" si="42"/>
        <v>0</v>
      </c>
      <c r="AY94" s="304">
        <f t="shared" ref="AY94:AY125" si="67">LARGE($AX$30:$AX$155,ROW()-ROW($AX$30)+1)</f>
        <v>0</v>
      </c>
      <c r="AZ94" s="304">
        <f t="shared" ref="AZ94:AZ125" si="68">VLOOKUP(AY94,$AP$30:$AQ$155,2,FALSE)</f>
        <v>0</v>
      </c>
      <c r="BA94" s="304">
        <f t="shared" si="50"/>
        <v>0</v>
      </c>
      <c r="BB94" s="304">
        <f t="shared" si="53"/>
        <v>0</v>
      </c>
      <c r="BC94" s="304">
        <f t="shared" ref="BC94:BC125" si="69">VLOOKUP(BB94,$AP$30:$AQ$155,2,FALSE)</f>
        <v>0</v>
      </c>
      <c r="BD94" s="304">
        <f t="shared" si="43"/>
        <v>0</v>
      </c>
      <c r="BE94" s="304">
        <f t="shared" si="44"/>
        <v>0</v>
      </c>
      <c r="BF94" s="304">
        <f t="shared" si="45"/>
        <v>0</v>
      </c>
      <c r="BG94" s="304">
        <f t="shared" ref="BG94:BG125" si="70">LARGE($BD$30:$BD$155,ROW()-ROW($BD$30)+1)</f>
        <v>0</v>
      </c>
      <c r="BH94" s="304">
        <f t="shared" ref="BH94:BH125" si="71">LARGE($BE$30:$BE$155,ROW()-ROW($BE$30)+1)</f>
        <v>0</v>
      </c>
      <c r="BI94" s="304">
        <f t="shared" ref="BI94:BI125" si="72">LARGE($BF$30:$BF$155,ROW()-ROW($BF$30)+1)</f>
        <v>0</v>
      </c>
    </row>
    <row r="95" spans="2:61" ht="120" x14ac:dyDescent="0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89"/>
      <c r="M95" s="89"/>
      <c r="N95" s="115"/>
      <c r="O95" s="115"/>
      <c r="P95" s="278">
        <f t="shared" si="62"/>
        <v>66</v>
      </c>
      <c r="Q95" s="68" t="s">
        <v>15</v>
      </c>
      <c r="R95" s="277">
        <v>66</v>
      </c>
      <c r="S95" s="319" t="s">
        <v>557</v>
      </c>
      <c r="T95" s="319"/>
      <c r="U95" s="304">
        <v>114</v>
      </c>
      <c r="V95" s="306" t="s">
        <v>29</v>
      </c>
      <c r="W95" s="319" t="s">
        <v>401</v>
      </c>
      <c r="X95" s="304">
        <v>114</v>
      </c>
      <c r="AP95" s="304">
        <f t="shared" si="64"/>
        <v>0</v>
      </c>
      <c r="AQ95" s="304">
        <f t="shared" si="63"/>
        <v>0</v>
      </c>
      <c r="AR95" s="304">
        <f t="shared" si="65"/>
        <v>0</v>
      </c>
      <c r="AS95" s="304">
        <f t="shared" si="66"/>
        <v>0</v>
      </c>
      <c r="AU95" s="304" t="e">
        <f>VLOOKUP(AR95,'Priority rules'!$U$15:$V$32,2,FALSE)</f>
        <v>#N/A</v>
      </c>
      <c r="AV95" s="304" t="e">
        <f t="shared" ref="AV95:AV155" si="73">IF(AU95,1,NA())</f>
        <v>#N/A</v>
      </c>
      <c r="AW95" s="304" t="b">
        <f t="shared" ref="AW95:AW155" si="74">ISNUMBER(AV95)</f>
        <v>0</v>
      </c>
      <c r="AX95" s="304">
        <f t="shared" ref="AX95:AX155" si="75">IF(AW95,AR95-AR95,AR95)</f>
        <v>0</v>
      </c>
      <c r="AY95" s="304">
        <f t="shared" si="67"/>
        <v>0</v>
      </c>
      <c r="AZ95" s="304">
        <f t="shared" si="68"/>
        <v>0</v>
      </c>
      <c r="BA95" s="304">
        <f t="shared" si="50"/>
        <v>0</v>
      </c>
      <c r="BB95" s="304">
        <f t="shared" si="53"/>
        <v>0</v>
      </c>
      <c r="BC95" s="304">
        <f t="shared" si="69"/>
        <v>0</v>
      </c>
      <c r="BD95" s="304">
        <f t="shared" ref="BD95:BD155" si="76">IF(BC95=1,BB95,0)</f>
        <v>0</v>
      </c>
      <c r="BE95" s="304">
        <f t="shared" ref="BE95:BE155" si="77">IF(BC95=2,BB95,0)</f>
        <v>0</v>
      </c>
      <c r="BF95" s="304">
        <f t="shared" ref="BF95:BF155" si="78">IF(BC95=3,BB95,0)</f>
        <v>0</v>
      </c>
      <c r="BG95" s="304">
        <f t="shared" si="70"/>
        <v>0</v>
      </c>
      <c r="BH95" s="304">
        <f t="shared" si="71"/>
        <v>0</v>
      </c>
      <c r="BI95" s="304">
        <f t="shared" si="72"/>
        <v>0</v>
      </c>
    </row>
    <row r="96" spans="2:61" ht="105" x14ac:dyDescent="0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89"/>
      <c r="M96" s="89"/>
      <c r="N96" s="115"/>
      <c r="O96" s="115"/>
      <c r="P96" s="278">
        <f t="shared" si="62"/>
        <v>65</v>
      </c>
      <c r="Q96" s="68" t="s">
        <v>58</v>
      </c>
      <c r="R96" s="277">
        <v>65</v>
      </c>
      <c r="S96" s="319" t="s">
        <v>343</v>
      </c>
      <c r="T96" s="319"/>
      <c r="U96" s="304">
        <v>113</v>
      </c>
      <c r="V96" s="306" t="s">
        <v>17</v>
      </c>
      <c r="W96" s="319" t="s">
        <v>402</v>
      </c>
      <c r="X96" s="304">
        <v>113</v>
      </c>
      <c r="AP96" s="304">
        <f t="shared" si="64"/>
        <v>0</v>
      </c>
      <c r="AQ96" s="304">
        <f t="shared" si="63"/>
        <v>0</v>
      </c>
      <c r="AR96" s="304">
        <f t="shared" si="65"/>
        <v>0</v>
      </c>
      <c r="AS96" s="304">
        <f t="shared" si="66"/>
        <v>0</v>
      </c>
      <c r="AU96" s="304" t="e">
        <f>VLOOKUP(AR96,'Priority rules'!$U$15:$V$32,2,FALSE)</f>
        <v>#N/A</v>
      </c>
      <c r="AV96" s="304" t="e">
        <f t="shared" si="73"/>
        <v>#N/A</v>
      </c>
      <c r="AW96" s="304" t="b">
        <f t="shared" si="74"/>
        <v>0</v>
      </c>
      <c r="AX96" s="304">
        <f t="shared" si="75"/>
        <v>0</v>
      </c>
      <c r="AY96" s="304">
        <f t="shared" si="67"/>
        <v>0</v>
      </c>
      <c r="AZ96" s="304">
        <f t="shared" si="68"/>
        <v>0</v>
      </c>
      <c r="BA96" s="304">
        <f t="shared" si="50"/>
        <v>0</v>
      </c>
      <c r="BB96" s="304">
        <f t="shared" si="53"/>
        <v>0</v>
      </c>
      <c r="BC96" s="304">
        <f t="shared" si="69"/>
        <v>0</v>
      </c>
      <c r="BD96" s="304">
        <f t="shared" si="76"/>
        <v>0</v>
      </c>
      <c r="BE96" s="304">
        <f t="shared" si="77"/>
        <v>0</v>
      </c>
      <c r="BF96" s="304">
        <f t="shared" si="78"/>
        <v>0</v>
      </c>
      <c r="BG96" s="304">
        <f t="shared" si="70"/>
        <v>0</v>
      </c>
      <c r="BH96" s="304">
        <f t="shared" si="71"/>
        <v>0</v>
      </c>
      <c r="BI96" s="304">
        <f t="shared" si="72"/>
        <v>0</v>
      </c>
    </row>
    <row r="97" spans="2:61" ht="90" x14ac:dyDescent="0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89"/>
      <c r="M97" s="89"/>
      <c r="N97" s="115"/>
      <c r="O97" s="115"/>
      <c r="P97" s="278">
        <f t="shared" si="62"/>
        <v>64</v>
      </c>
      <c r="Q97" s="68" t="s">
        <v>63</v>
      </c>
      <c r="R97" s="277">
        <v>64</v>
      </c>
      <c r="S97" s="319" t="s">
        <v>344</v>
      </c>
      <c r="T97" s="319"/>
      <c r="U97" s="304">
        <v>112</v>
      </c>
      <c r="V97" s="306" t="s">
        <v>403</v>
      </c>
      <c r="W97" s="319" t="s">
        <v>404</v>
      </c>
      <c r="X97" s="304">
        <v>112</v>
      </c>
      <c r="AP97" s="304">
        <f t="shared" si="64"/>
        <v>0</v>
      </c>
      <c r="AQ97" s="304">
        <f t="shared" si="63"/>
        <v>0</v>
      </c>
      <c r="AR97" s="304">
        <f t="shared" si="65"/>
        <v>0</v>
      </c>
      <c r="AS97" s="304">
        <f t="shared" si="66"/>
        <v>0</v>
      </c>
      <c r="AU97" s="304" t="e">
        <f>VLOOKUP(AR97,'Priority rules'!$U$15:$V$32,2,FALSE)</f>
        <v>#N/A</v>
      </c>
      <c r="AV97" s="304" t="e">
        <f t="shared" si="73"/>
        <v>#N/A</v>
      </c>
      <c r="AW97" s="304" t="b">
        <f t="shared" si="74"/>
        <v>0</v>
      </c>
      <c r="AX97" s="304">
        <f t="shared" si="75"/>
        <v>0</v>
      </c>
      <c r="AY97" s="304">
        <f t="shared" si="67"/>
        <v>0</v>
      </c>
      <c r="AZ97" s="304">
        <f t="shared" si="68"/>
        <v>0</v>
      </c>
      <c r="BA97" s="304">
        <f t="shared" si="50"/>
        <v>0</v>
      </c>
      <c r="BB97" s="304">
        <f t="shared" si="53"/>
        <v>0</v>
      </c>
      <c r="BC97" s="304">
        <f t="shared" si="69"/>
        <v>0</v>
      </c>
      <c r="BD97" s="304">
        <f t="shared" si="76"/>
        <v>0</v>
      </c>
      <c r="BE97" s="304">
        <f t="shared" si="77"/>
        <v>0</v>
      </c>
      <c r="BF97" s="304">
        <f t="shared" si="78"/>
        <v>0</v>
      </c>
      <c r="BG97" s="304">
        <f t="shared" si="70"/>
        <v>0</v>
      </c>
      <c r="BH97" s="304">
        <f t="shared" si="71"/>
        <v>0</v>
      </c>
      <c r="BI97" s="304">
        <f t="shared" si="72"/>
        <v>0</v>
      </c>
    </row>
    <row r="98" spans="2:61" ht="135" x14ac:dyDescent="0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89"/>
      <c r="M98" s="89"/>
      <c r="N98" s="115"/>
      <c r="O98" s="115"/>
      <c r="P98" s="278">
        <f t="shared" si="62"/>
        <v>63</v>
      </c>
      <c r="Q98" s="68" t="s">
        <v>19</v>
      </c>
      <c r="R98" s="277">
        <v>63</v>
      </c>
      <c r="S98" s="319" t="s">
        <v>345</v>
      </c>
      <c r="T98" s="319"/>
      <c r="U98" s="304">
        <v>111</v>
      </c>
      <c r="V98" s="306" t="s">
        <v>12</v>
      </c>
      <c r="W98" s="319" t="s">
        <v>405</v>
      </c>
      <c r="X98" s="304">
        <v>111</v>
      </c>
      <c r="AP98" s="304">
        <f t="shared" si="64"/>
        <v>0</v>
      </c>
      <c r="AQ98" s="304">
        <f t="shared" si="63"/>
        <v>0</v>
      </c>
      <c r="AR98" s="304">
        <f t="shared" si="65"/>
        <v>0</v>
      </c>
      <c r="AS98" s="304">
        <f t="shared" si="66"/>
        <v>0</v>
      </c>
      <c r="AU98" s="304" t="e">
        <f>VLOOKUP(AR98,'Priority rules'!$U$15:$V$32,2,FALSE)</f>
        <v>#N/A</v>
      </c>
      <c r="AV98" s="304" t="e">
        <f t="shared" si="73"/>
        <v>#N/A</v>
      </c>
      <c r="AW98" s="304" t="b">
        <f t="shared" si="74"/>
        <v>0</v>
      </c>
      <c r="AX98" s="304">
        <f t="shared" si="75"/>
        <v>0</v>
      </c>
      <c r="AY98" s="304">
        <f t="shared" si="67"/>
        <v>0</v>
      </c>
      <c r="AZ98" s="304">
        <f t="shared" si="68"/>
        <v>0</v>
      </c>
      <c r="BA98" s="304">
        <f t="shared" si="50"/>
        <v>0</v>
      </c>
      <c r="BB98" s="304">
        <f t="shared" si="53"/>
        <v>0</v>
      </c>
      <c r="BC98" s="304">
        <f t="shared" si="69"/>
        <v>0</v>
      </c>
      <c r="BD98" s="304">
        <f t="shared" si="76"/>
        <v>0</v>
      </c>
      <c r="BE98" s="304">
        <f t="shared" si="77"/>
        <v>0</v>
      </c>
      <c r="BF98" s="304">
        <f t="shared" si="78"/>
        <v>0</v>
      </c>
      <c r="BG98" s="304">
        <f t="shared" si="70"/>
        <v>0</v>
      </c>
      <c r="BH98" s="304">
        <f t="shared" si="71"/>
        <v>0</v>
      </c>
      <c r="BI98" s="304">
        <f t="shared" si="72"/>
        <v>0</v>
      </c>
    </row>
    <row r="99" spans="2:61" ht="120" x14ac:dyDescent="0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89"/>
      <c r="M99" s="89"/>
      <c r="N99" s="115"/>
      <c r="O99" s="115"/>
      <c r="P99" s="278">
        <f t="shared" si="62"/>
        <v>62</v>
      </c>
      <c r="Q99" s="68" t="s">
        <v>21</v>
      </c>
      <c r="R99" s="277">
        <v>62</v>
      </c>
      <c r="S99" s="319" t="s">
        <v>346</v>
      </c>
      <c r="T99" s="319"/>
      <c r="U99" s="304">
        <v>110</v>
      </c>
      <c r="V99" s="306" t="s">
        <v>90</v>
      </c>
      <c r="W99" s="319" t="s">
        <v>406</v>
      </c>
      <c r="X99" s="304">
        <v>110</v>
      </c>
      <c r="AP99" s="304">
        <f t="shared" si="64"/>
        <v>0</v>
      </c>
      <c r="AQ99" s="304">
        <f t="shared" si="63"/>
        <v>0</v>
      </c>
      <c r="AR99" s="304">
        <f t="shared" si="65"/>
        <v>0</v>
      </c>
      <c r="AS99" s="304">
        <f t="shared" si="66"/>
        <v>0</v>
      </c>
      <c r="AU99" s="304" t="e">
        <f>VLOOKUP(AR99,'Priority rules'!$U$15:$V$32,2,FALSE)</f>
        <v>#N/A</v>
      </c>
      <c r="AV99" s="304" t="e">
        <f t="shared" si="73"/>
        <v>#N/A</v>
      </c>
      <c r="AW99" s="304" t="b">
        <f t="shared" si="74"/>
        <v>0</v>
      </c>
      <c r="AX99" s="304">
        <f t="shared" si="75"/>
        <v>0</v>
      </c>
      <c r="AY99" s="304">
        <f t="shared" si="67"/>
        <v>0</v>
      </c>
      <c r="AZ99" s="304">
        <f t="shared" si="68"/>
        <v>0</v>
      </c>
      <c r="BA99" s="304">
        <f t="shared" si="50"/>
        <v>0</v>
      </c>
      <c r="BB99" s="304">
        <f t="shared" si="53"/>
        <v>0</v>
      </c>
      <c r="BC99" s="304">
        <f t="shared" si="69"/>
        <v>0</v>
      </c>
      <c r="BD99" s="304">
        <f t="shared" si="76"/>
        <v>0</v>
      </c>
      <c r="BE99" s="304">
        <f t="shared" si="77"/>
        <v>0</v>
      </c>
      <c r="BF99" s="304">
        <f t="shared" si="78"/>
        <v>0</v>
      </c>
      <c r="BG99" s="304">
        <f t="shared" si="70"/>
        <v>0</v>
      </c>
      <c r="BH99" s="304">
        <f t="shared" si="71"/>
        <v>0</v>
      </c>
      <c r="BI99" s="304">
        <f t="shared" si="72"/>
        <v>0</v>
      </c>
    </row>
    <row r="100" spans="2:61" ht="120" x14ac:dyDescent="0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89"/>
      <c r="M100" s="89"/>
      <c r="N100" s="115"/>
      <c r="O100" s="115"/>
      <c r="P100" s="278">
        <f t="shared" si="62"/>
        <v>61</v>
      </c>
      <c r="Q100" s="68" t="s">
        <v>66</v>
      </c>
      <c r="R100" s="277">
        <v>61</v>
      </c>
      <c r="S100" s="319" t="s">
        <v>347</v>
      </c>
      <c r="T100" s="319"/>
      <c r="U100" s="304">
        <v>109</v>
      </c>
      <c r="V100" s="306" t="s">
        <v>96</v>
      </c>
      <c r="W100" s="319" t="s">
        <v>407</v>
      </c>
      <c r="X100" s="304">
        <v>109</v>
      </c>
      <c r="AP100" s="304">
        <f t="shared" si="64"/>
        <v>0</v>
      </c>
      <c r="AQ100" s="304">
        <f t="shared" si="63"/>
        <v>0</v>
      </c>
      <c r="AR100" s="304">
        <f t="shared" si="65"/>
        <v>0</v>
      </c>
      <c r="AS100" s="304">
        <f t="shared" si="66"/>
        <v>0</v>
      </c>
      <c r="AU100" s="304" t="e">
        <f>VLOOKUP(AR100,'Priority rules'!$U$15:$V$32,2,FALSE)</f>
        <v>#N/A</v>
      </c>
      <c r="AV100" s="304" t="e">
        <f t="shared" si="73"/>
        <v>#N/A</v>
      </c>
      <c r="AW100" s="304" t="b">
        <f t="shared" si="74"/>
        <v>0</v>
      </c>
      <c r="AX100" s="304">
        <f t="shared" si="75"/>
        <v>0</v>
      </c>
      <c r="AY100" s="304">
        <f t="shared" si="67"/>
        <v>0</v>
      </c>
      <c r="AZ100" s="304">
        <f t="shared" si="68"/>
        <v>0</v>
      </c>
      <c r="BA100" s="304">
        <f t="shared" ref="BA100:BA155" si="79">IF(BA99=AY100,AY101,AY100)</f>
        <v>0</v>
      </c>
      <c r="BB100" s="304">
        <f t="shared" si="53"/>
        <v>0</v>
      </c>
      <c r="BC100" s="304">
        <f t="shared" si="69"/>
        <v>0</v>
      </c>
      <c r="BD100" s="304">
        <f t="shared" si="76"/>
        <v>0</v>
      </c>
      <c r="BE100" s="304">
        <f t="shared" si="77"/>
        <v>0</v>
      </c>
      <c r="BF100" s="304">
        <f t="shared" si="78"/>
        <v>0</v>
      </c>
      <c r="BG100" s="304">
        <f t="shared" si="70"/>
        <v>0</v>
      </c>
      <c r="BH100" s="304">
        <f t="shared" si="71"/>
        <v>0</v>
      </c>
      <c r="BI100" s="304">
        <f t="shared" si="72"/>
        <v>0</v>
      </c>
    </row>
    <row r="101" spans="2:61" ht="90" x14ac:dyDescent="0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89"/>
      <c r="M101" s="89"/>
      <c r="N101" s="115"/>
      <c r="O101" s="115"/>
      <c r="P101" s="278">
        <f t="shared" si="62"/>
        <v>60</v>
      </c>
      <c r="Q101" s="68" t="s">
        <v>69</v>
      </c>
      <c r="R101" s="277">
        <v>60</v>
      </c>
      <c r="S101" s="319" t="s">
        <v>348</v>
      </c>
      <c r="T101" s="319"/>
      <c r="U101" s="304">
        <v>108</v>
      </c>
      <c r="V101" s="306" t="s">
        <v>80</v>
      </c>
      <c r="W101" s="319" t="s">
        <v>408</v>
      </c>
      <c r="X101" s="304">
        <v>108</v>
      </c>
      <c r="AP101" s="304">
        <f t="shared" si="64"/>
        <v>0</v>
      </c>
      <c r="AQ101" s="304">
        <f t="shared" si="63"/>
        <v>0</v>
      </c>
      <c r="AR101" s="304">
        <f t="shared" si="65"/>
        <v>0</v>
      </c>
      <c r="AS101" s="304">
        <f t="shared" si="66"/>
        <v>0</v>
      </c>
      <c r="AU101" s="304" t="e">
        <f>VLOOKUP(AR101,'Priority rules'!$U$15:$V$32,2,FALSE)</f>
        <v>#N/A</v>
      </c>
      <c r="AV101" s="304" t="e">
        <f t="shared" si="73"/>
        <v>#N/A</v>
      </c>
      <c r="AW101" s="304" t="b">
        <f t="shared" si="74"/>
        <v>0</v>
      </c>
      <c r="AX101" s="304">
        <f t="shared" si="75"/>
        <v>0</v>
      </c>
      <c r="AY101" s="304">
        <f t="shared" si="67"/>
        <v>0</v>
      </c>
      <c r="AZ101" s="304">
        <f t="shared" si="68"/>
        <v>0</v>
      </c>
      <c r="BA101" s="304">
        <f t="shared" si="79"/>
        <v>0</v>
      </c>
      <c r="BB101" s="304">
        <f t="shared" si="53"/>
        <v>0</v>
      </c>
      <c r="BC101" s="304">
        <f t="shared" si="69"/>
        <v>0</v>
      </c>
      <c r="BD101" s="304">
        <f t="shared" si="76"/>
        <v>0</v>
      </c>
      <c r="BE101" s="304">
        <f t="shared" si="77"/>
        <v>0</v>
      </c>
      <c r="BF101" s="304">
        <f t="shared" si="78"/>
        <v>0</v>
      </c>
      <c r="BG101" s="304">
        <f t="shared" si="70"/>
        <v>0</v>
      </c>
      <c r="BH101" s="304">
        <f t="shared" si="71"/>
        <v>0</v>
      </c>
      <c r="BI101" s="304">
        <f t="shared" si="72"/>
        <v>0</v>
      </c>
    </row>
    <row r="102" spans="2:61" ht="90" x14ac:dyDescent="0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89"/>
      <c r="M102" s="89"/>
      <c r="N102" s="115"/>
      <c r="O102" s="115"/>
      <c r="P102" s="278">
        <f t="shared" si="62"/>
        <v>59</v>
      </c>
      <c r="Q102" s="68" t="s">
        <v>76</v>
      </c>
      <c r="R102" s="277">
        <v>59</v>
      </c>
      <c r="S102" s="319" t="s">
        <v>349</v>
      </c>
      <c r="T102" s="319"/>
      <c r="U102" s="304">
        <v>107</v>
      </c>
      <c r="V102" s="306" t="s">
        <v>115</v>
      </c>
      <c r="W102" s="319" t="s">
        <v>409</v>
      </c>
      <c r="X102" s="304">
        <v>107</v>
      </c>
      <c r="AP102" s="304">
        <f t="shared" si="64"/>
        <v>0</v>
      </c>
      <c r="AQ102" s="304">
        <f t="shared" si="63"/>
        <v>0</v>
      </c>
      <c r="AR102" s="304">
        <f t="shared" si="65"/>
        <v>0</v>
      </c>
      <c r="AS102" s="304">
        <f t="shared" si="66"/>
        <v>0</v>
      </c>
      <c r="AU102" s="304" t="e">
        <f>VLOOKUP(AR102,'Priority rules'!$U$15:$V$32,2,FALSE)</f>
        <v>#N/A</v>
      </c>
      <c r="AV102" s="304" t="e">
        <f t="shared" si="73"/>
        <v>#N/A</v>
      </c>
      <c r="AW102" s="304" t="b">
        <f t="shared" si="74"/>
        <v>0</v>
      </c>
      <c r="AX102" s="304">
        <f t="shared" si="75"/>
        <v>0</v>
      </c>
      <c r="AY102" s="304">
        <f t="shared" si="67"/>
        <v>0</v>
      </c>
      <c r="AZ102" s="304">
        <f t="shared" si="68"/>
        <v>0</v>
      </c>
      <c r="BA102" s="304">
        <f t="shared" si="79"/>
        <v>0</v>
      </c>
      <c r="BB102" s="304">
        <f t="shared" si="53"/>
        <v>0</v>
      </c>
      <c r="BC102" s="304">
        <f t="shared" si="69"/>
        <v>0</v>
      </c>
      <c r="BD102" s="304">
        <f t="shared" si="76"/>
        <v>0</v>
      </c>
      <c r="BE102" s="304">
        <f t="shared" si="77"/>
        <v>0</v>
      </c>
      <c r="BF102" s="304">
        <f t="shared" si="78"/>
        <v>0</v>
      </c>
      <c r="BG102" s="304">
        <f t="shared" si="70"/>
        <v>0</v>
      </c>
      <c r="BH102" s="304">
        <f t="shared" si="71"/>
        <v>0</v>
      </c>
      <c r="BI102" s="304">
        <f t="shared" si="72"/>
        <v>0</v>
      </c>
    </row>
    <row r="103" spans="2:61" ht="75" x14ac:dyDescent="0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89"/>
      <c r="M103" s="89"/>
      <c r="N103" s="115"/>
      <c r="O103" s="115"/>
      <c r="P103" s="278">
        <f t="shared" si="62"/>
        <v>58</v>
      </c>
      <c r="Q103" s="68" t="s">
        <v>77</v>
      </c>
      <c r="R103" s="277">
        <v>58</v>
      </c>
      <c r="S103" s="319" t="s">
        <v>350</v>
      </c>
      <c r="T103" s="319"/>
      <c r="U103" s="304">
        <v>106</v>
      </c>
      <c r="V103" s="306" t="s">
        <v>70</v>
      </c>
      <c r="W103" s="319" t="s">
        <v>410</v>
      </c>
      <c r="X103" s="304">
        <v>106</v>
      </c>
      <c r="AP103" s="304">
        <f t="shared" si="64"/>
        <v>0</v>
      </c>
      <c r="AQ103" s="304">
        <f t="shared" si="63"/>
        <v>0</v>
      </c>
      <c r="AR103" s="304">
        <f t="shared" si="65"/>
        <v>0</v>
      </c>
      <c r="AS103" s="304">
        <f t="shared" si="66"/>
        <v>0</v>
      </c>
      <c r="AU103" s="304" t="e">
        <f>VLOOKUP(AR103,'Priority rules'!$U$15:$V$32,2,FALSE)</f>
        <v>#N/A</v>
      </c>
      <c r="AV103" s="304" t="e">
        <f t="shared" si="73"/>
        <v>#N/A</v>
      </c>
      <c r="AW103" s="304" t="b">
        <f t="shared" si="74"/>
        <v>0</v>
      </c>
      <c r="AX103" s="304">
        <f t="shared" si="75"/>
        <v>0</v>
      </c>
      <c r="AY103" s="304">
        <f t="shared" si="67"/>
        <v>0</v>
      </c>
      <c r="AZ103" s="304">
        <f t="shared" si="68"/>
        <v>0</v>
      </c>
      <c r="BA103" s="304">
        <f t="shared" si="79"/>
        <v>0</v>
      </c>
      <c r="BB103" s="304">
        <f t="shared" si="53"/>
        <v>0</v>
      </c>
      <c r="BC103" s="304">
        <f t="shared" si="69"/>
        <v>0</v>
      </c>
      <c r="BD103" s="304">
        <f t="shared" si="76"/>
        <v>0</v>
      </c>
      <c r="BE103" s="304">
        <f t="shared" si="77"/>
        <v>0</v>
      </c>
      <c r="BF103" s="304">
        <f t="shared" si="78"/>
        <v>0</v>
      </c>
      <c r="BG103" s="304">
        <f t="shared" si="70"/>
        <v>0</v>
      </c>
      <c r="BH103" s="304">
        <f t="shared" si="71"/>
        <v>0</v>
      </c>
      <c r="BI103" s="304">
        <f t="shared" si="72"/>
        <v>0</v>
      </c>
    </row>
    <row r="104" spans="2:61" ht="120" x14ac:dyDescent="0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89"/>
      <c r="M104" s="89"/>
      <c r="N104" s="115"/>
      <c r="O104" s="115"/>
      <c r="P104" s="278">
        <f t="shared" si="62"/>
        <v>57</v>
      </c>
      <c r="Q104" s="68" t="s">
        <v>123</v>
      </c>
      <c r="R104" s="277">
        <v>57</v>
      </c>
      <c r="S104" s="319" t="s">
        <v>351</v>
      </c>
      <c r="T104" s="319"/>
      <c r="U104" s="304">
        <v>105</v>
      </c>
      <c r="V104" s="306" t="s">
        <v>71</v>
      </c>
      <c r="W104" s="319" t="s">
        <v>411</v>
      </c>
      <c r="X104" s="304">
        <v>105</v>
      </c>
      <c r="AP104" s="304">
        <f t="shared" si="64"/>
        <v>0</v>
      </c>
      <c r="AQ104" s="304">
        <f t="shared" si="63"/>
        <v>0</v>
      </c>
      <c r="AR104" s="304">
        <f t="shared" si="65"/>
        <v>0</v>
      </c>
      <c r="AS104" s="304">
        <f t="shared" si="66"/>
        <v>0</v>
      </c>
      <c r="AU104" s="304" t="e">
        <f>VLOOKUP(AR104,'Priority rules'!$U$15:$V$32,2,FALSE)</f>
        <v>#N/A</v>
      </c>
      <c r="AV104" s="304" t="e">
        <f t="shared" si="73"/>
        <v>#N/A</v>
      </c>
      <c r="AW104" s="304" t="b">
        <f t="shared" si="74"/>
        <v>0</v>
      </c>
      <c r="AX104" s="304">
        <f t="shared" si="75"/>
        <v>0</v>
      </c>
      <c r="AY104" s="304">
        <f t="shared" si="67"/>
        <v>0</v>
      </c>
      <c r="AZ104" s="304">
        <f t="shared" si="68"/>
        <v>0</v>
      </c>
      <c r="BA104" s="304">
        <f t="shared" si="79"/>
        <v>0</v>
      </c>
      <c r="BB104" s="304">
        <f t="shared" si="53"/>
        <v>0</v>
      </c>
      <c r="BC104" s="304">
        <f t="shared" si="69"/>
        <v>0</v>
      </c>
      <c r="BD104" s="304">
        <f t="shared" si="76"/>
        <v>0</v>
      </c>
      <c r="BE104" s="304">
        <f t="shared" si="77"/>
        <v>0</v>
      </c>
      <c r="BF104" s="304">
        <f t="shared" si="78"/>
        <v>0</v>
      </c>
      <c r="BG104" s="304">
        <f t="shared" si="70"/>
        <v>0</v>
      </c>
      <c r="BH104" s="304">
        <f t="shared" si="71"/>
        <v>0</v>
      </c>
      <c r="BI104" s="304">
        <f t="shared" si="72"/>
        <v>0</v>
      </c>
    </row>
    <row r="105" spans="2:61" ht="90" x14ac:dyDescent="0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89"/>
      <c r="M105" s="89"/>
      <c r="N105" s="115"/>
      <c r="O105" s="115"/>
      <c r="P105" s="278">
        <f t="shared" si="62"/>
        <v>56</v>
      </c>
      <c r="Q105" s="68" t="s">
        <v>79</v>
      </c>
      <c r="R105" s="277">
        <v>56</v>
      </c>
      <c r="S105" s="319" t="s">
        <v>352</v>
      </c>
      <c r="T105" s="319"/>
      <c r="U105" s="304">
        <v>104</v>
      </c>
      <c r="V105" s="306" t="s">
        <v>91</v>
      </c>
      <c r="W105" s="319" t="s">
        <v>412</v>
      </c>
      <c r="X105" s="304">
        <v>104</v>
      </c>
      <c r="AP105" s="304">
        <f t="shared" si="64"/>
        <v>0</v>
      </c>
      <c r="AQ105" s="304">
        <f t="shared" si="63"/>
        <v>0</v>
      </c>
      <c r="AR105" s="304">
        <f t="shared" si="65"/>
        <v>0</v>
      </c>
      <c r="AS105" s="304">
        <f t="shared" si="66"/>
        <v>0</v>
      </c>
      <c r="AU105" s="304" t="e">
        <f>VLOOKUP(AR105,'Priority rules'!$U$15:$V$32,2,FALSE)</f>
        <v>#N/A</v>
      </c>
      <c r="AV105" s="304" t="e">
        <f t="shared" si="73"/>
        <v>#N/A</v>
      </c>
      <c r="AW105" s="304" t="b">
        <f t="shared" si="74"/>
        <v>0</v>
      </c>
      <c r="AX105" s="304">
        <f t="shared" si="75"/>
        <v>0</v>
      </c>
      <c r="AY105" s="304">
        <f t="shared" si="67"/>
        <v>0</v>
      </c>
      <c r="AZ105" s="304">
        <f t="shared" si="68"/>
        <v>0</v>
      </c>
      <c r="BA105" s="304">
        <f t="shared" si="79"/>
        <v>0</v>
      </c>
      <c r="BB105" s="304">
        <f t="shared" si="53"/>
        <v>0</v>
      </c>
      <c r="BC105" s="304">
        <f t="shared" si="69"/>
        <v>0</v>
      </c>
      <c r="BD105" s="304">
        <f t="shared" si="76"/>
        <v>0</v>
      </c>
      <c r="BE105" s="304">
        <f t="shared" si="77"/>
        <v>0</v>
      </c>
      <c r="BF105" s="304">
        <f t="shared" si="78"/>
        <v>0</v>
      </c>
      <c r="BG105" s="304">
        <f t="shared" si="70"/>
        <v>0</v>
      </c>
      <c r="BH105" s="304">
        <f t="shared" si="71"/>
        <v>0</v>
      </c>
      <c r="BI105" s="304">
        <f t="shared" si="72"/>
        <v>0</v>
      </c>
    </row>
    <row r="106" spans="2:61" ht="165" x14ac:dyDescent="0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89"/>
      <c r="M106" s="89"/>
      <c r="N106" s="115"/>
      <c r="O106" s="115"/>
      <c r="P106" s="278">
        <f t="shared" si="62"/>
        <v>55</v>
      </c>
      <c r="Q106" s="68" t="s">
        <v>86</v>
      </c>
      <c r="R106" s="277">
        <v>55</v>
      </c>
      <c r="S106" s="319" t="s">
        <v>353</v>
      </c>
      <c r="T106" s="319"/>
      <c r="U106" s="304">
        <v>103</v>
      </c>
      <c r="V106" s="306" t="s">
        <v>109</v>
      </c>
      <c r="W106" s="319" t="s">
        <v>413</v>
      </c>
      <c r="X106" s="304">
        <v>103</v>
      </c>
      <c r="AP106" s="304">
        <f t="shared" si="64"/>
        <v>0</v>
      </c>
      <c r="AQ106" s="304">
        <f t="shared" si="63"/>
        <v>0</v>
      </c>
      <c r="AR106" s="304">
        <f t="shared" si="65"/>
        <v>0</v>
      </c>
      <c r="AS106" s="304">
        <f t="shared" si="66"/>
        <v>0</v>
      </c>
      <c r="AU106" s="304" t="e">
        <f>VLOOKUP(AR106,'Priority rules'!$U$15:$V$32,2,FALSE)</f>
        <v>#N/A</v>
      </c>
      <c r="AV106" s="304" t="e">
        <f t="shared" si="73"/>
        <v>#N/A</v>
      </c>
      <c r="AW106" s="304" t="b">
        <f t="shared" si="74"/>
        <v>0</v>
      </c>
      <c r="AX106" s="304">
        <f t="shared" si="75"/>
        <v>0</v>
      </c>
      <c r="AY106" s="304">
        <f t="shared" si="67"/>
        <v>0</v>
      </c>
      <c r="AZ106" s="304">
        <f t="shared" si="68"/>
        <v>0</v>
      </c>
      <c r="BA106" s="304">
        <f t="shared" si="79"/>
        <v>0</v>
      </c>
      <c r="BB106" s="304">
        <f t="shared" si="53"/>
        <v>0</v>
      </c>
      <c r="BC106" s="304">
        <f t="shared" si="69"/>
        <v>0</v>
      </c>
      <c r="BD106" s="304">
        <f t="shared" si="76"/>
        <v>0</v>
      </c>
      <c r="BE106" s="304">
        <f t="shared" si="77"/>
        <v>0</v>
      </c>
      <c r="BF106" s="304">
        <f t="shared" si="78"/>
        <v>0</v>
      </c>
      <c r="BG106" s="304">
        <f t="shared" si="70"/>
        <v>0</v>
      </c>
      <c r="BH106" s="304">
        <f t="shared" si="71"/>
        <v>0</v>
      </c>
      <c r="BI106" s="304">
        <f t="shared" si="72"/>
        <v>0</v>
      </c>
    </row>
    <row r="107" spans="2:61" ht="75" x14ac:dyDescent="0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89"/>
      <c r="M107" s="89"/>
      <c r="N107" s="115"/>
      <c r="O107" s="115"/>
      <c r="P107" s="278">
        <f t="shared" si="62"/>
        <v>54</v>
      </c>
      <c r="Q107" s="68" t="s">
        <v>89</v>
      </c>
      <c r="R107" s="277">
        <v>54</v>
      </c>
      <c r="S107" s="319" t="s">
        <v>354</v>
      </c>
      <c r="T107" s="319"/>
      <c r="U107" s="304">
        <v>102</v>
      </c>
      <c r="V107" s="306" t="s">
        <v>126</v>
      </c>
      <c r="W107" s="319" t="s">
        <v>414</v>
      </c>
      <c r="X107" s="304">
        <v>102</v>
      </c>
      <c r="AP107" s="304">
        <f t="shared" si="64"/>
        <v>0</v>
      </c>
      <c r="AQ107" s="304">
        <f t="shared" si="63"/>
        <v>0</v>
      </c>
      <c r="AR107" s="304">
        <f t="shared" si="65"/>
        <v>0</v>
      </c>
      <c r="AS107" s="304">
        <f t="shared" si="66"/>
        <v>0</v>
      </c>
      <c r="AU107" s="304" t="e">
        <f>VLOOKUP(AR107,'Priority rules'!$U$15:$V$32,2,FALSE)</f>
        <v>#N/A</v>
      </c>
      <c r="AV107" s="304" t="e">
        <f t="shared" si="73"/>
        <v>#N/A</v>
      </c>
      <c r="AW107" s="304" t="b">
        <f t="shared" si="74"/>
        <v>0</v>
      </c>
      <c r="AX107" s="304">
        <f t="shared" si="75"/>
        <v>0</v>
      </c>
      <c r="AY107" s="304">
        <f t="shared" si="67"/>
        <v>0</v>
      </c>
      <c r="AZ107" s="304">
        <f t="shared" si="68"/>
        <v>0</v>
      </c>
      <c r="BA107" s="304">
        <f t="shared" si="79"/>
        <v>0</v>
      </c>
      <c r="BB107" s="304">
        <f t="shared" ref="BB107:BB155" si="80">IF(BB106=BA107,BA108,BA107)</f>
        <v>0</v>
      </c>
      <c r="BC107" s="304">
        <f t="shared" si="69"/>
        <v>0</v>
      </c>
      <c r="BD107" s="304">
        <f t="shared" si="76"/>
        <v>0</v>
      </c>
      <c r="BE107" s="304">
        <f t="shared" si="77"/>
        <v>0</v>
      </c>
      <c r="BF107" s="304">
        <f t="shared" si="78"/>
        <v>0</v>
      </c>
      <c r="BG107" s="304">
        <f t="shared" si="70"/>
        <v>0</v>
      </c>
      <c r="BH107" s="304">
        <f t="shared" si="71"/>
        <v>0</v>
      </c>
      <c r="BI107" s="304">
        <f t="shared" si="72"/>
        <v>0</v>
      </c>
    </row>
    <row r="108" spans="2:61" ht="165" x14ac:dyDescent="0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89"/>
      <c r="M108" s="89"/>
      <c r="N108" s="115"/>
      <c r="O108" s="115"/>
      <c r="P108" s="278">
        <f t="shared" si="62"/>
        <v>53</v>
      </c>
      <c r="Q108" s="68" t="s">
        <v>98</v>
      </c>
      <c r="R108" s="277">
        <v>53</v>
      </c>
      <c r="S108" s="304" t="s">
        <v>355</v>
      </c>
      <c r="U108" s="304">
        <v>101</v>
      </c>
      <c r="V108" s="306" t="s">
        <v>6</v>
      </c>
      <c r="W108" s="319" t="s">
        <v>415</v>
      </c>
      <c r="X108" s="304">
        <v>101</v>
      </c>
      <c r="AP108" s="304">
        <f t="shared" si="64"/>
        <v>0</v>
      </c>
      <c r="AQ108" s="304">
        <f t="shared" si="63"/>
        <v>0</v>
      </c>
      <c r="AR108" s="304">
        <f t="shared" si="65"/>
        <v>0</v>
      </c>
      <c r="AS108" s="304">
        <f t="shared" si="66"/>
        <v>0</v>
      </c>
      <c r="AU108" s="304" t="e">
        <f>VLOOKUP(AR108,'Priority rules'!$U$15:$V$32,2,FALSE)</f>
        <v>#N/A</v>
      </c>
      <c r="AV108" s="304" t="e">
        <f t="shared" si="73"/>
        <v>#N/A</v>
      </c>
      <c r="AW108" s="304" t="b">
        <f t="shared" si="74"/>
        <v>0</v>
      </c>
      <c r="AX108" s="304">
        <f t="shared" si="75"/>
        <v>0</v>
      </c>
      <c r="AY108" s="304">
        <f t="shared" si="67"/>
        <v>0</v>
      </c>
      <c r="AZ108" s="304">
        <f t="shared" si="68"/>
        <v>0</v>
      </c>
      <c r="BA108" s="304">
        <f t="shared" si="79"/>
        <v>0</v>
      </c>
      <c r="BB108" s="304">
        <f t="shared" si="80"/>
        <v>0</v>
      </c>
      <c r="BC108" s="304">
        <f t="shared" si="69"/>
        <v>0</v>
      </c>
      <c r="BD108" s="304">
        <f t="shared" si="76"/>
        <v>0</v>
      </c>
      <c r="BE108" s="304">
        <f t="shared" si="77"/>
        <v>0</v>
      </c>
      <c r="BF108" s="304">
        <f t="shared" si="78"/>
        <v>0</v>
      </c>
      <c r="BG108" s="304">
        <f t="shared" si="70"/>
        <v>0</v>
      </c>
      <c r="BH108" s="304">
        <f t="shared" si="71"/>
        <v>0</v>
      </c>
      <c r="BI108" s="304">
        <f t="shared" si="72"/>
        <v>0</v>
      </c>
    </row>
    <row r="109" spans="2:61" ht="120" x14ac:dyDescent="0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89"/>
      <c r="M109" s="89"/>
      <c r="N109" s="115"/>
      <c r="O109" s="115"/>
      <c r="P109" s="278">
        <f t="shared" si="62"/>
        <v>52</v>
      </c>
      <c r="Q109" s="68" t="s">
        <v>101</v>
      </c>
      <c r="R109" s="277">
        <v>52</v>
      </c>
      <c r="S109" s="319" t="s">
        <v>356</v>
      </c>
      <c r="T109" s="319"/>
      <c r="U109" s="304">
        <v>100</v>
      </c>
      <c r="V109" s="306" t="s">
        <v>2</v>
      </c>
      <c r="W109" s="319" t="s">
        <v>416</v>
      </c>
      <c r="X109" s="304">
        <v>100</v>
      </c>
      <c r="AP109" s="304">
        <f t="shared" si="64"/>
        <v>0</v>
      </c>
      <c r="AQ109" s="304">
        <f t="shared" si="63"/>
        <v>0</v>
      </c>
      <c r="AR109" s="304">
        <f t="shared" si="65"/>
        <v>0</v>
      </c>
      <c r="AS109" s="304">
        <f t="shared" si="66"/>
        <v>0</v>
      </c>
      <c r="AU109" s="304" t="e">
        <f>VLOOKUP(AR109,'Priority rules'!$U$15:$V$32,2,FALSE)</f>
        <v>#N/A</v>
      </c>
      <c r="AV109" s="304" t="e">
        <f t="shared" si="73"/>
        <v>#N/A</v>
      </c>
      <c r="AW109" s="304" t="b">
        <f t="shared" si="74"/>
        <v>0</v>
      </c>
      <c r="AX109" s="304">
        <f t="shared" si="75"/>
        <v>0</v>
      </c>
      <c r="AY109" s="304">
        <f t="shared" si="67"/>
        <v>0</v>
      </c>
      <c r="AZ109" s="304">
        <f t="shared" si="68"/>
        <v>0</v>
      </c>
      <c r="BA109" s="304">
        <f t="shared" si="79"/>
        <v>0</v>
      </c>
      <c r="BB109" s="304">
        <f t="shared" si="80"/>
        <v>0</v>
      </c>
      <c r="BC109" s="304">
        <f t="shared" si="69"/>
        <v>0</v>
      </c>
      <c r="BD109" s="304">
        <f t="shared" si="76"/>
        <v>0</v>
      </c>
      <c r="BE109" s="304">
        <f t="shared" si="77"/>
        <v>0</v>
      </c>
      <c r="BF109" s="304">
        <f t="shared" si="78"/>
        <v>0</v>
      </c>
      <c r="BG109" s="304">
        <f t="shared" si="70"/>
        <v>0</v>
      </c>
      <c r="BH109" s="304">
        <f t="shared" si="71"/>
        <v>0</v>
      </c>
      <c r="BI109" s="304">
        <f t="shared" si="72"/>
        <v>0</v>
      </c>
    </row>
    <row r="110" spans="2:61" ht="150" x14ac:dyDescent="0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89"/>
      <c r="M110" s="89"/>
      <c r="N110" s="115"/>
      <c r="O110" s="115"/>
      <c r="P110" s="278">
        <f t="shared" si="62"/>
        <v>51</v>
      </c>
      <c r="Q110" s="68" t="s">
        <v>269</v>
      </c>
      <c r="R110" s="277">
        <v>51</v>
      </c>
      <c r="S110" s="319" t="s">
        <v>357</v>
      </c>
      <c r="T110" s="319"/>
      <c r="U110" s="304">
        <v>99</v>
      </c>
      <c r="V110" s="306" t="s">
        <v>22</v>
      </c>
      <c r="W110" s="319" t="s">
        <v>417</v>
      </c>
      <c r="X110" s="304">
        <v>99</v>
      </c>
      <c r="AP110" s="304">
        <f t="shared" si="64"/>
        <v>0</v>
      </c>
      <c r="AQ110" s="304">
        <f t="shared" si="63"/>
        <v>0</v>
      </c>
      <c r="AR110" s="304">
        <f t="shared" si="65"/>
        <v>0</v>
      </c>
      <c r="AS110" s="304">
        <f t="shared" si="66"/>
        <v>0</v>
      </c>
      <c r="AU110" s="304" t="e">
        <f>VLOOKUP(AR110,'Priority rules'!$U$15:$V$32,2,FALSE)</f>
        <v>#N/A</v>
      </c>
      <c r="AV110" s="304" t="e">
        <f t="shared" si="73"/>
        <v>#N/A</v>
      </c>
      <c r="AW110" s="304" t="b">
        <f t="shared" si="74"/>
        <v>0</v>
      </c>
      <c r="AX110" s="304">
        <f t="shared" si="75"/>
        <v>0</v>
      </c>
      <c r="AY110" s="304">
        <f t="shared" si="67"/>
        <v>0</v>
      </c>
      <c r="AZ110" s="304">
        <f t="shared" si="68"/>
        <v>0</v>
      </c>
      <c r="BA110" s="304">
        <f t="shared" si="79"/>
        <v>0</v>
      </c>
      <c r="BB110" s="304">
        <f t="shared" si="80"/>
        <v>0</v>
      </c>
      <c r="BC110" s="304">
        <f t="shared" si="69"/>
        <v>0</v>
      </c>
      <c r="BD110" s="304">
        <f t="shared" si="76"/>
        <v>0</v>
      </c>
      <c r="BE110" s="304">
        <f t="shared" si="77"/>
        <v>0</v>
      </c>
      <c r="BF110" s="304">
        <f t="shared" si="78"/>
        <v>0</v>
      </c>
      <c r="BG110" s="304">
        <f t="shared" si="70"/>
        <v>0</v>
      </c>
      <c r="BH110" s="304">
        <f t="shared" si="71"/>
        <v>0</v>
      </c>
      <c r="BI110" s="304">
        <f t="shared" si="72"/>
        <v>0</v>
      </c>
    </row>
    <row r="111" spans="2:61" ht="105" x14ac:dyDescent="0.2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89"/>
      <c r="M111" s="89"/>
      <c r="N111" s="115"/>
      <c r="O111" s="115"/>
      <c r="P111" s="278">
        <f t="shared" si="62"/>
        <v>50</v>
      </c>
      <c r="Q111" s="68" t="s">
        <v>103</v>
      </c>
      <c r="R111" s="277">
        <v>50</v>
      </c>
      <c r="S111" s="319" t="s">
        <v>358</v>
      </c>
      <c r="T111" s="319"/>
      <c r="U111" s="304">
        <v>98</v>
      </c>
      <c r="V111" s="306" t="s">
        <v>60</v>
      </c>
      <c r="W111" s="319" t="s">
        <v>418</v>
      </c>
      <c r="X111" s="304">
        <v>98</v>
      </c>
      <c r="AP111" s="304">
        <f t="shared" si="64"/>
        <v>0</v>
      </c>
      <c r="AQ111" s="304">
        <f t="shared" si="63"/>
        <v>0</v>
      </c>
      <c r="AR111" s="304">
        <f t="shared" si="65"/>
        <v>0</v>
      </c>
      <c r="AS111" s="304">
        <f t="shared" si="66"/>
        <v>0</v>
      </c>
      <c r="AU111" s="304" t="e">
        <f>VLOOKUP(AR111,'Priority rules'!$U$15:$V$32,2,FALSE)</f>
        <v>#N/A</v>
      </c>
      <c r="AV111" s="304" t="e">
        <f t="shared" si="73"/>
        <v>#N/A</v>
      </c>
      <c r="AW111" s="304" t="b">
        <f t="shared" si="74"/>
        <v>0</v>
      </c>
      <c r="AX111" s="304">
        <f t="shared" si="75"/>
        <v>0</v>
      </c>
      <c r="AY111" s="304">
        <f t="shared" si="67"/>
        <v>0</v>
      </c>
      <c r="AZ111" s="304">
        <f t="shared" si="68"/>
        <v>0</v>
      </c>
      <c r="BA111" s="304">
        <f t="shared" si="79"/>
        <v>0</v>
      </c>
      <c r="BB111" s="304">
        <f t="shared" si="80"/>
        <v>0</v>
      </c>
      <c r="BC111" s="304">
        <f t="shared" si="69"/>
        <v>0</v>
      </c>
      <c r="BD111" s="304">
        <f t="shared" si="76"/>
        <v>0</v>
      </c>
      <c r="BE111" s="304">
        <f t="shared" si="77"/>
        <v>0</v>
      </c>
      <c r="BF111" s="304">
        <f t="shared" si="78"/>
        <v>0</v>
      </c>
      <c r="BG111" s="304">
        <f t="shared" si="70"/>
        <v>0</v>
      </c>
      <c r="BH111" s="304">
        <f t="shared" si="71"/>
        <v>0</v>
      </c>
      <c r="BI111" s="304">
        <f t="shared" si="72"/>
        <v>0</v>
      </c>
    </row>
    <row r="112" spans="2:61" ht="75" x14ac:dyDescent="0.2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89"/>
      <c r="M112" s="89"/>
      <c r="N112" s="115"/>
      <c r="O112" s="115"/>
      <c r="P112" s="278">
        <f t="shared" si="62"/>
        <v>49</v>
      </c>
      <c r="Q112" s="68" t="s">
        <v>104</v>
      </c>
      <c r="R112" s="277">
        <v>49</v>
      </c>
      <c r="S112" s="319" t="s">
        <v>359</v>
      </c>
      <c r="T112" s="319"/>
      <c r="U112" s="304">
        <v>97</v>
      </c>
      <c r="V112" s="306" t="s">
        <v>92</v>
      </c>
      <c r="W112" s="319" t="s">
        <v>419</v>
      </c>
      <c r="X112" s="304">
        <v>97</v>
      </c>
      <c r="AP112" s="304">
        <f t="shared" si="64"/>
        <v>0</v>
      </c>
      <c r="AQ112" s="304">
        <f t="shared" si="63"/>
        <v>0</v>
      </c>
      <c r="AR112" s="304">
        <f t="shared" si="65"/>
        <v>0</v>
      </c>
      <c r="AS112" s="304">
        <f t="shared" si="66"/>
        <v>0</v>
      </c>
      <c r="AU112" s="304" t="e">
        <f>VLOOKUP(AR112,'Priority rules'!$U$15:$V$32,2,FALSE)</f>
        <v>#N/A</v>
      </c>
      <c r="AV112" s="304" t="e">
        <f t="shared" si="73"/>
        <v>#N/A</v>
      </c>
      <c r="AW112" s="304" t="b">
        <f t="shared" si="74"/>
        <v>0</v>
      </c>
      <c r="AX112" s="304">
        <f t="shared" si="75"/>
        <v>0</v>
      </c>
      <c r="AY112" s="304">
        <f t="shared" si="67"/>
        <v>0</v>
      </c>
      <c r="AZ112" s="304">
        <f t="shared" si="68"/>
        <v>0</v>
      </c>
      <c r="BA112" s="304">
        <f t="shared" si="79"/>
        <v>0</v>
      </c>
      <c r="BB112" s="304">
        <f t="shared" si="80"/>
        <v>0</v>
      </c>
      <c r="BC112" s="304">
        <f t="shared" si="69"/>
        <v>0</v>
      </c>
      <c r="BD112" s="304">
        <f t="shared" si="76"/>
        <v>0</v>
      </c>
      <c r="BE112" s="304">
        <f t="shared" si="77"/>
        <v>0</v>
      </c>
      <c r="BF112" s="304">
        <f t="shared" si="78"/>
        <v>0</v>
      </c>
      <c r="BG112" s="304">
        <f t="shared" si="70"/>
        <v>0</v>
      </c>
      <c r="BH112" s="304">
        <f t="shared" si="71"/>
        <v>0</v>
      </c>
      <c r="BI112" s="304">
        <f t="shared" si="72"/>
        <v>0</v>
      </c>
    </row>
    <row r="113" spans="2:61" ht="150" x14ac:dyDescent="0.2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89"/>
      <c r="M113" s="89"/>
      <c r="N113" s="115"/>
      <c r="O113" s="115"/>
      <c r="P113" s="278">
        <f t="shared" si="62"/>
        <v>48</v>
      </c>
      <c r="Q113" s="68" t="s">
        <v>266</v>
      </c>
      <c r="R113" s="277">
        <v>48</v>
      </c>
      <c r="S113" s="319" t="s">
        <v>360</v>
      </c>
      <c r="T113" s="319"/>
      <c r="U113" s="304">
        <v>96</v>
      </c>
      <c r="V113" s="306" t="s">
        <v>107</v>
      </c>
      <c r="W113" s="319" t="s">
        <v>420</v>
      </c>
      <c r="X113" s="304">
        <v>96</v>
      </c>
      <c r="AP113" s="304">
        <f t="shared" si="64"/>
        <v>0</v>
      </c>
      <c r="AQ113" s="304">
        <f t="shared" si="63"/>
        <v>0</v>
      </c>
      <c r="AR113" s="304">
        <f t="shared" si="65"/>
        <v>0</v>
      </c>
      <c r="AS113" s="304">
        <f t="shared" si="66"/>
        <v>0</v>
      </c>
      <c r="AU113" s="304" t="e">
        <f>VLOOKUP(AR113,'Priority rules'!$U$15:$V$32,2,FALSE)</f>
        <v>#N/A</v>
      </c>
      <c r="AV113" s="304" t="e">
        <f t="shared" si="73"/>
        <v>#N/A</v>
      </c>
      <c r="AW113" s="304" t="b">
        <f t="shared" si="74"/>
        <v>0</v>
      </c>
      <c r="AX113" s="304">
        <f t="shared" si="75"/>
        <v>0</v>
      </c>
      <c r="AY113" s="304">
        <f t="shared" si="67"/>
        <v>0</v>
      </c>
      <c r="AZ113" s="304">
        <f t="shared" si="68"/>
        <v>0</v>
      </c>
      <c r="BA113" s="304">
        <f t="shared" si="79"/>
        <v>0</v>
      </c>
      <c r="BB113" s="304">
        <f t="shared" si="80"/>
        <v>0</v>
      </c>
      <c r="BC113" s="304">
        <f t="shared" si="69"/>
        <v>0</v>
      </c>
      <c r="BD113" s="304">
        <f t="shared" si="76"/>
        <v>0</v>
      </c>
      <c r="BE113" s="304">
        <f t="shared" si="77"/>
        <v>0</v>
      </c>
      <c r="BF113" s="304">
        <f t="shared" si="78"/>
        <v>0</v>
      </c>
      <c r="BG113" s="304">
        <f t="shared" si="70"/>
        <v>0</v>
      </c>
      <c r="BH113" s="304">
        <f t="shared" si="71"/>
        <v>0</v>
      </c>
      <c r="BI113" s="304">
        <f t="shared" si="72"/>
        <v>0</v>
      </c>
    </row>
    <row r="114" spans="2:61" ht="45" x14ac:dyDescent="0.2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89"/>
      <c r="M114" s="89"/>
      <c r="N114" s="115"/>
      <c r="O114" s="115"/>
      <c r="P114" s="278">
        <f t="shared" si="62"/>
        <v>47</v>
      </c>
      <c r="Q114" s="68" t="s">
        <v>267</v>
      </c>
      <c r="R114" s="277">
        <v>47</v>
      </c>
      <c r="S114" s="319" t="s">
        <v>361</v>
      </c>
      <c r="T114" s="319"/>
      <c r="U114" s="304">
        <v>95</v>
      </c>
      <c r="V114" s="306" t="s">
        <v>421</v>
      </c>
      <c r="W114" s="319" t="s">
        <v>422</v>
      </c>
      <c r="X114" s="304">
        <v>95</v>
      </c>
      <c r="AP114" s="304">
        <f>AN30</f>
        <v>0</v>
      </c>
      <c r="AQ114" s="304">
        <f>IF(AP114=0,0,3)</f>
        <v>0</v>
      </c>
      <c r="AR114" s="304">
        <f t="shared" si="65"/>
        <v>0</v>
      </c>
      <c r="AS114" s="304">
        <f t="shared" si="66"/>
        <v>0</v>
      </c>
      <c r="AU114" s="304" t="e">
        <f>VLOOKUP(AR114,'Priority rules'!$U$15:$V$32,2,FALSE)</f>
        <v>#N/A</v>
      </c>
      <c r="AV114" s="304" t="e">
        <f t="shared" si="73"/>
        <v>#N/A</v>
      </c>
      <c r="AW114" s="304" t="b">
        <f t="shared" si="74"/>
        <v>0</v>
      </c>
      <c r="AX114" s="304">
        <f t="shared" si="75"/>
        <v>0</v>
      </c>
      <c r="AY114" s="304">
        <f t="shared" si="67"/>
        <v>0</v>
      </c>
      <c r="AZ114" s="304">
        <f t="shared" si="68"/>
        <v>0</v>
      </c>
      <c r="BA114" s="304">
        <f t="shared" si="79"/>
        <v>0</v>
      </c>
      <c r="BB114" s="304">
        <f t="shared" si="80"/>
        <v>0</v>
      </c>
      <c r="BC114" s="304">
        <f t="shared" si="69"/>
        <v>0</v>
      </c>
      <c r="BD114" s="304">
        <f t="shared" si="76"/>
        <v>0</v>
      </c>
      <c r="BE114" s="304">
        <f t="shared" si="77"/>
        <v>0</v>
      </c>
      <c r="BF114" s="304">
        <f t="shared" si="78"/>
        <v>0</v>
      </c>
      <c r="BG114" s="304">
        <f t="shared" si="70"/>
        <v>0</v>
      </c>
      <c r="BH114" s="304">
        <f t="shared" si="71"/>
        <v>0</v>
      </c>
      <c r="BI114" s="304">
        <f t="shared" si="72"/>
        <v>0</v>
      </c>
    </row>
    <row r="115" spans="2:61" ht="165" x14ac:dyDescent="0.2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89"/>
      <c r="M115" s="89"/>
      <c r="N115" s="115"/>
      <c r="O115" s="115"/>
      <c r="P115" s="278">
        <f t="shared" si="62"/>
        <v>46</v>
      </c>
      <c r="Q115" s="68" t="s">
        <v>268</v>
      </c>
      <c r="R115" s="277">
        <v>46</v>
      </c>
      <c r="S115" s="319" t="s">
        <v>362</v>
      </c>
      <c r="T115" s="319"/>
      <c r="U115" s="304">
        <v>94</v>
      </c>
      <c r="V115" s="306" t="s">
        <v>72</v>
      </c>
      <c r="W115" s="319" t="s">
        <v>423</v>
      </c>
      <c r="X115" s="304">
        <v>94</v>
      </c>
      <c r="AP115" s="304">
        <f>AN31</f>
        <v>0</v>
      </c>
      <c r="AQ115" s="304">
        <f t="shared" ref="AQ115:AQ155" si="81">IF(AP115=0,0,3)</f>
        <v>0</v>
      </c>
      <c r="AR115" s="304">
        <f t="shared" si="65"/>
        <v>0</v>
      </c>
      <c r="AS115" s="304">
        <f t="shared" si="66"/>
        <v>0</v>
      </c>
      <c r="AU115" s="304" t="e">
        <f>VLOOKUP(AR115,'Priority rules'!$U$15:$V$32,2,FALSE)</f>
        <v>#N/A</v>
      </c>
      <c r="AV115" s="304" t="e">
        <f t="shared" si="73"/>
        <v>#N/A</v>
      </c>
      <c r="AW115" s="304" t="b">
        <f t="shared" si="74"/>
        <v>0</v>
      </c>
      <c r="AX115" s="304">
        <f t="shared" si="75"/>
        <v>0</v>
      </c>
      <c r="AY115" s="304">
        <f t="shared" si="67"/>
        <v>0</v>
      </c>
      <c r="AZ115" s="304">
        <f t="shared" si="68"/>
        <v>0</v>
      </c>
      <c r="BA115" s="304">
        <f t="shared" si="79"/>
        <v>0</v>
      </c>
      <c r="BB115" s="304">
        <f t="shared" si="80"/>
        <v>0</v>
      </c>
      <c r="BC115" s="304">
        <f t="shared" si="69"/>
        <v>0</v>
      </c>
      <c r="BD115" s="304">
        <f t="shared" si="76"/>
        <v>0</v>
      </c>
      <c r="BE115" s="304">
        <f t="shared" si="77"/>
        <v>0</v>
      </c>
      <c r="BF115" s="304">
        <f t="shared" si="78"/>
        <v>0</v>
      </c>
      <c r="BG115" s="304">
        <f t="shared" si="70"/>
        <v>0</v>
      </c>
      <c r="BH115" s="304">
        <f t="shared" si="71"/>
        <v>0</v>
      </c>
      <c r="BI115" s="304">
        <f t="shared" si="72"/>
        <v>0</v>
      </c>
    </row>
    <row r="116" spans="2:61" ht="180" x14ac:dyDescent="0.2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89"/>
      <c r="M116" s="89"/>
      <c r="N116" s="115"/>
      <c r="O116" s="115"/>
      <c r="P116" s="278">
        <f t="shared" si="62"/>
        <v>45</v>
      </c>
      <c r="Q116" s="68" t="s">
        <v>106</v>
      </c>
      <c r="R116" s="277">
        <v>45</v>
      </c>
      <c r="S116" s="319" t="s">
        <v>363</v>
      </c>
      <c r="T116" s="319"/>
      <c r="U116" s="304">
        <v>93</v>
      </c>
      <c r="V116" s="306" t="s">
        <v>78</v>
      </c>
      <c r="W116" s="319" t="s">
        <v>424</v>
      </c>
      <c r="X116" s="304">
        <v>93</v>
      </c>
      <c r="AP116" s="304">
        <f t="shared" ref="AP116:AP121" si="82">AN32</f>
        <v>0</v>
      </c>
      <c r="AQ116" s="304">
        <f t="shared" si="81"/>
        <v>0</v>
      </c>
      <c r="AR116" s="304">
        <f t="shared" si="65"/>
        <v>0</v>
      </c>
      <c r="AS116" s="304">
        <f t="shared" si="66"/>
        <v>0</v>
      </c>
      <c r="AU116" s="304" t="e">
        <f>VLOOKUP(AR116,'Priority rules'!$U$15:$V$32,2,FALSE)</f>
        <v>#N/A</v>
      </c>
      <c r="AV116" s="304" t="e">
        <f t="shared" si="73"/>
        <v>#N/A</v>
      </c>
      <c r="AW116" s="304" t="b">
        <f t="shared" si="74"/>
        <v>0</v>
      </c>
      <c r="AX116" s="304">
        <f t="shared" si="75"/>
        <v>0</v>
      </c>
      <c r="AY116" s="304">
        <f t="shared" si="67"/>
        <v>0</v>
      </c>
      <c r="AZ116" s="304">
        <f t="shared" si="68"/>
        <v>0</v>
      </c>
      <c r="BA116" s="304">
        <f t="shared" si="79"/>
        <v>0</v>
      </c>
      <c r="BB116" s="304">
        <f t="shared" si="80"/>
        <v>0</v>
      </c>
      <c r="BC116" s="304">
        <f t="shared" si="69"/>
        <v>0</v>
      </c>
      <c r="BD116" s="304">
        <f t="shared" si="76"/>
        <v>0</v>
      </c>
      <c r="BE116" s="304">
        <f t="shared" si="77"/>
        <v>0</v>
      </c>
      <c r="BF116" s="304">
        <f t="shared" si="78"/>
        <v>0</v>
      </c>
      <c r="BG116" s="304">
        <f t="shared" si="70"/>
        <v>0</v>
      </c>
      <c r="BH116" s="304">
        <f t="shared" si="71"/>
        <v>0</v>
      </c>
      <c r="BI116" s="304">
        <f t="shared" si="72"/>
        <v>0</v>
      </c>
    </row>
    <row r="117" spans="2:61" ht="135" x14ac:dyDescent="0.2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89"/>
      <c r="M117" s="89"/>
      <c r="N117" s="115"/>
      <c r="O117" s="115"/>
      <c r="P117" s="278">
        <f t="shared" si="62"/>
        <v>44</v>
      </c>
      <c r="Q117" s="68" t="s">
        <v>274</v>
      </c>
      <c r="R117" s="277">
        <v>44</v>
      </c>
      <c r="S117" s="319" t="s">
        <v>364</v>
      </c>
      <c r="T117" s="319"/>
      <c r="U117" s="304">
        <v>92</v>
      </c>
      <c r="V117" s="306" t="s">
        <v>99</v>
      </c>
      <c r="W117" s="319" t="s">
        <v>425</v>
      </c>
      <c r="X117" s="304">
        <v>92</v>
      </c>
      <c r="AP117" s="304">
        <f t="shared" si="82"/>
        <v>0</v>
      </c>
      <c r="AQ117" s="304">
        <f t="shared" si="81"/>
        <v>0</v>
      </c>
      <c r="AR117" s="304">
        <f t="shared" si="65"/>
        <v>0</v>
      </c>
      <c r="AS117" s="304">
        <f t="shared" si="66"/>
        <v>0</v>
      </c>
      <c r="AU117" s="304" t="e">
        <f>VLOOKUP(AR117,'Priority rules'!$U$15:$V$32,2,FALSE)</f>
        <v>#N/A</v>
      </c>
      <c r="AV117" s="304" t="e">
        <f t="shared" si="73"/>
        <v>#N/A</v>
      </c>
      <c r="AW117" s="304" t="b">
        <f t="shared" si="74"/>
        <v>0</v>
      </c>
      <c r="AX117" s="304">
        <f t="shared" si="75"/>
        <v>0</v>
      </c>
      <c r="AY117" s="304">
        <f t="shared" si="67"/>
        <v>0</v>
      </c>
      <c r="AZ117" s="304">
        <f t="shared" si="68"/>
        <v>0</v>
      </c>
      <c r="BA117" s="304">
        <f t="shared" si="79"/>
        <v>0</v>
      </c>
      <c r="BB117" s="304">
        <f t="shared" si="80"/>
        <v>0</v>
      </c>
      <c r="BC117" s="304">
        <f t="shared" si="69"/>
        <v>0</v>
      </c>
      <c r="BD117" s="304">
        <f t="shared" si="76"/>
        <v>0</v>
      </c>
      <c r="BE117" s="304">
        <f t="shared" si="77"/>
        <v>0</v>
      </c>
      <c r="BF117" s="304">
        <f t="shared" si="78"/>
        <v>0</v>
      </c>
      <c r="BG117" s="304">
        <f t="shared" si="70"/>
        <v>0</v>
      </c>
      <c r="BH117" s="304">
        <f t="shared" si="71"/>
        <v>0</v>
      </c>
      <c r="BI117" s="304">
        <f t="shared" si="72"/>
        <v>0</v>
      </c>
    </row>
    <row r="118" spans="2:61" ht="90" x14ac:dyDescent="0.2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89"/>
      <c r="M118" s="89"/>
      <c r="N118" s="115"/>
      <c r="O118" s="115"/>
      <c r="P118" s="278">
        <f t="shared" si="62"/>
        <v>43</v>
      </c>
      <c r="Q118" s="68" t="s">
        <v>275</v>
      </c>
      <c r="R118" s="277">
        <v>43</v>
      </c>
      <c r="S118" s="319" t="s">
        <v>365</v>
      </c>
      <c r="T118" s="319"/>
      <c r="U118" s="304">
        <v>91</v>
      </c>
      <c r="V118" s="306" t="s">
        <v>426</v>
      </c>
      <c r="W118" s="319" t="s">
        <v>427</v>
      </c>
      <c r="X118" s="304">
        <v>91</v>
      </c>
      <c r="AP118" s="304">
        <f t="shared" si="82"/>
        <v>0</v>
      </c>
      <c r="AQ118" s="304">
        <f t="shared" si="81"/>
        <v>0</v>
      </c>
      <c r="AR118" s="304">
        <f t="shared" si="65"/>
        <v>0</v>
      </c>
      <c r="AS118" s="304">
        <f t="shared" si="66"/>
        <v>0</v>
      </c>
      <c r="AU118" s="304" t="e">
        <f>VLOOKUP(AR118,'Priority rules'!$U$15:$V$32,2,FALSE)</f>
        <v>#N/A</v>
      </c>
      <c r="AV118" s="304" t="e">
        <f t="shared" si="73"/>
        <v>#N/A</v>
      </c>
      <c r="AW118" s="304" t="b">
        <f t="shared" si="74"/>
        <v>0</v>
      </c>
      <c r="AX118" s="304">
        <f t="shared" si="75"/>
        <v>0</v>
      </c>
      <c r="AY118" s="304">
        <f t="shared" si="67"/>
        <v>0</v>
      </c>
      <c r="AZ118" s="304">
        <f t="shared" si="68"/>
        <v>0</v>
      </c>
      <c r="BA118" s="304">
        <f t="shared" si="79"/>
        <v>0</v>
      </c>
      <c r="BB118" s="304">
        <f t="shared" si="80"/>
        <v>0</v>
      </c>
      <c r="BC118" s="304">
        <f t="shared" si="69"/>
        <v>0</v>
      </c>
      <c r="BD118" s="304">
        <f t="shared" si="76"/>
        <v>0</v>
      </c>
      <c r="BE118" s="304">
        <f t="shared" si="77"/>
        <v>0</v>
      </c>
      <c r="BF118" s="304">
        <f t="shared" si="78"/>
        <v>0</v>
      </c>
      <c r="BG118" s="304">
        <f t="shared" si="70"/>
        <v>0</v>
      </c>
      <c r="BH118" s="304">
        <f t="shared" si="71"/>
        <v>0</v>
      </c>
      <c r="BI118" s="304">
        <f t="shared" si="72"/>
        <v>0</v>
      </c>
    </row>
    <row r="119" spans="2:61" ht="270" x14ac:dyDescent="0.2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89"/>
      <c r="M119" s="89"/>
      <c r="N119" s="115"/>
      <c r="O119" s="115"/>
      <c r="P119" s="278">
        <f t="shared" si="62"/>
        <v>42</v>
      </c>
      <c r="Q119" s="68" t="s">
        <v>111</v>
      </c>
      <c r="R119" s="277">
        <v>42</v>
      </c>
      <c r="S119" s="319" t="s">
        <v>2328</v>
      </c>
      <c r="T119" s="319"/>
      <c r="U119" s="304">
        <v>90</v>
      </c>
      <c r="V119" s="306" t="s">
        <v>45</v>
      </c>
      <c r="W119" s="319" t="s">
        <v>428</v>
      </c>
      <c r="X119" s="304">
        <v>90</v>
      </c>
      <c r="AP119" s="304">
        <f t="shared" si="82"/>
        <v>0</v>
      </c>
      <c r="AQ119" s="304">
        <f t="shared" si="81"/>
        <v>0</v>
      </c>
      <c r="AR119" s="304">
        <f t="shared" si="65"/>
        <v>0</v>
      </c>
      <c r="AS119" s="304">
        <f t="shared" si="66"/>
        <v>0</v>
      </c>
      <c r="AU119" s="304" t="e">
        <f>VLOOKUP(AR119,'Priority rules'!$U$15:$V$32,2,FALSE)</f>
        <v>#N/A</v>
      </c>
      <c r="AV119" s="304" t="e">
        <f t="shared" si="73"/>
        <v>#N/A</v>
      </c>
      <c r="AW119" s="304" t="b">
        <f t="shared" si="74"/>
        <v>0</v>
      </c>
      <c r="AX119" s="304">
        <f t="shared" si="75"/>
        <v>0</v>
      </c>
      <c r="AY119" s="304">
        <f t="shared" si="67"/>
        <v>0</v>
      </c>
      <c r="AZ119" s="304">
        <f t="shared" si="68"/>
        <v>0</v>
      </c>
      <c r="BA119" s="304">
        <f t="shared" si="79"/>
        <v>0</v>
      </c>
      <c r="BB119" s="304">
        <f t="shared" si="80"/>
        <v>0</v>
      </c>
      <c r="BC119" s="304">
        <f t="shared" si="69"/>
        <v>0</v>
      </c>
      <c r="BD119" s="304">
        <f t="shared" si="76"/>
        <v>0</v>
      </c>
      <c r="BE119" s="304">
        <f t="shared" si="77"/>
        <v>0</v>
      </c>
      <c r="BF119" s="304">
        <f t="shared" si="78"/>
        <v>0</v>
      </c>
      <c r="BG119" s="304">
        <f t="shared" si="70"/>
        <v>0</v>
      </c>
      <c r="BH119" s="304">
        <f t="shared" si="71"/>
        <v>0</v>
      </c>
      <c r="BI119" s="304">
        <f t="shared" si="72"/>
        <v>0</v>
      </c>
    </row>
    <row r="120" spans="2:61" ht="285" x14ac:dyDescent="0.2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89"/>
      <c r="M120" s="89"/>
      <c r="N120" s="115"/>
      <c r="O120" s="115"/>
      <c r="P120" s="278">
        <f t="shared" si="62"/>
        <v>41</v>
      </c>
      <c r="Q120" s="68" t="s">
        <v>113</v>
      </c>
      <c r="R120" s="277">
        <v>41</v>
      </c>
      <c r="S120" s="319" t="s">
        <v>2329</v>
      </c>
      <c r="T120" s="319"/>
      <c r="U120" s="304">
        <v>89</v>
      </c>
      <c r="V120" s="306" t="s">
        <v>81</v>
      </c>
      <c r="W120" s="319" t="s">
        <v>429</v>
      </c>
      <c r="X120" s="304">
        <v>89</v>
      </c>
      <c r="AP120" s="304">
        <f t="shared" si="82"/>
        <v>0</v>
      </c>
      <c r="AQ120" s="304">
        <f t="shared" si="81"/>
        <v>0</v>
      </c>
      <c r="AR120" s="304">
        <f t="shared" si="65"/>
        <v>0</v>
      </c>
      <c r="AS120" s="304">
        <f t="shared" si="66"/>
        <v>0</v>
      </c>
      <c r="AU120" s="304" t="e">
        <f>VLOOKUP(AR120,'Priority rules'!$U$15:$V$32,2,FALSE)</f>
        <v>#N/A</v>
      </c>
      <c r="AV120" s="304" t="e">
        <f t="shared" si="73"/>
        <v>#N/A</v>
      </c>
      <c r="AW120" s="304" t="b">
        <f t="shared" si="74"/>
        <v>0</v>
      </c>
      <c r="AX120" s="304">
        <f t="shared" si="75"/>
        <v>0</v>
      </c>
      <c r="AY120" s="304">
        <f t="shared" si="67"/>
        <v>0</v>
      </c>
      <c r="AZ120" s="304">
        <f t="shared" si="68"/>
        <v>0</v>
      </c>
      <c r="BA120" s="304">
        <f t="shared" si="79"/>
        <v>0</v>
      </c>
      <c r="BB120" s="304">
        <f t="shared" si="80"/>
        <v>0</v>
      </c>
      <c r="BC120" s="304">
        <f t="shared" si="69"/>
        <v>0</v>
      </c>
      <c r="BD120" s="304">
        <f t="shared" si="76"/>
        <v>0</v>
      </c>
      <c r="BE120" s="304">
        <f t="shared" si="77"/>
        <v>0</v>
      </c>
      <c r="BF120" s="304">
        <f t="shared" si="78"/>
        <v>0</v>
      </c>
      <c r="BG120" s="304">
        <f t="shared" si="70"/>
        <v>0</v>
      </c>
      <c r="BH120" s="304">
        <f t="shared" si="71"/>
        <v>0</v>
      </c>
      <c r="BI120" s="304">
        <f t="shared" si="72"/>
        <v>0</v>
      </c>
    </row>
    <row r="121" spans="2:61" ht="255" x14ac:dyDescent="0.2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89"/>
      <c r="M121" s="89"/>
      <c r="N121" s="115"/>
      <c r="O121" s="115"/>
      <c r="P121" s="278">
        <f t="shared" si="62"/>
        <v>40</v>
      </c>
      <c r="Q121" s="68" t="s">
        <v>114</v>
      </c>
      <c r="R121" s="277">
        <v>40</v>
      </c>
      <c r="S121" s="319" t="s">
        <v>2330</v>
      </c>
      <c r="T121" s="319"/>
      <c r="U121" s="304">
        <v>88</v>
      </c>
      <c r="V121" s="306" t="s">
        <v>87</v>
      </c>
      <c r="W121" s="319" t="s">
        <v>430</v>
      </c>
      <c r="X121" s="304">
        <v>88</v>
      </c>
      <c r="AP121" s="304">
        <f t="shared" si="82"/>
        <v>0</v>
      </c>
      <c r="AQ121" s="304">
        <f t="shared" si="81"/>
        <v>0</v>
      </c>
      <c r="AR121" s="304">
        <f t="shared" si="65"/>
        <v>0</v>
      </c>
      <c r="AS121" s="304">
        <f t="shared" si="66"/>
        <v>0</v>
      </c>
      <c r="AU121" s="304" t="e">
        <f>VLOOKUP(AR121,'Priority rules'!$U$15:$V$32,2,FALSE)</f>
        <v>#N/A</v>
      </c>
      <c r="AV121" s="304" t="e">
        <f t="shared" si="73"/>
        <v>#N/A</v>
      </c>
      <c r="AW121" s="304" t="b">
        <f t="shared" si="74"/>
        <v>0</v>
      </c>
      <c r="AX121" s="304">
        <f t="shared" si="75"/>
        <v>0</v>
      </c>
      <c r="AY121" s="304">
        <f t="shared" si="67"/>
        <v>0</v>
      </c>
      <c r="AZ121" s="304">
        <f t="shared" si="68"/>
        <v>0</v>
      </c>
      <c r="BA121" s="304">
        <f t="shared" si="79"/>
        <v>0</v>
      </c>
      <c r="BB121" s="304">
        <f t="shared" si="80"/>
        <v>0</v>
      </c>
      <c r="BC121" s="304">
        <f t="shared" si="69"/>
        <v>0</v>
      </c>
      <c r="BD121" s="304">
        <f t="shared" si="76"/>
        <v>0</v>
      </c>
      <c r="BE121" s="304">
        <f t="shared" si="77"/>
        <v>0</v>
      </c>
      <c r="BF121" s="304">
        <f t="shared" si="78"/>
        <v>0</v>
      </c>
      <c r="BG121" s="304">
        <f t="shared" si="70"/>
        <v>0</v>
      </c>
      <c r="BH121" s="304">
        <f t="shared" si="71"/>
        <v>0</v>
      </c>
      <c r="BI121" s="304">
        <f t="shared" si="72"/>
        <v>0</v>
      </c>
    </row>
    <row r="122" spans="2:61" ht="270" x14ac:dyDescent="0.2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89"/>
      <c r="M122" s="89"/>
      <c r="N122" s="115"/>
      <c r="O122" s="115"/>
      <c r="P122" s="278">
        <f t="shared" si="62"/>
        <v>39</v>
      </c>
      <c r="Q122" s="68" t="s">
        <v>270</v>
      </c>
      <c r="R122" s="277">
        <v>39</v>
      </c>
      <c r="S122" s="319" t="s">
        <v>2331</v>
      </c>
      <c r="T122" s="319"/>
      <c r="U122" s="304">
        <v>87</v>
      </c>
      <c r="V122" s="306" t="s">
        <v>431</v>
      </c>
      <c r="W122" s="319" t="s">
        <v>432</v>
      </c>
      <c r="X122" s="304">
        <v>87</v>
      </c>
      <c r="AP122" s="304">
        <f t="shared" ref="AP122:AP155" si="83">AN38</f>
        <v>0</v>
      </c>
      <c r="AQ122" s="304">
        <f t="shared" si="81"/>
        <v>0</v>
      </c>
      <c r="AR122" s="304">
        <f t="shared" si="65"/>
        <v>0</v>
      </c>
      <c r="AS122" s="304">
        <f t="shared" si="66"/>
        <v>0</v>
      </c>
      <c r="AU122" s="304" t="e">
        <f>VLOOKUP(AR122,'Priority rules'!$U$15:$V$32,2,FALSE)</f>
        <v>#N/A</v>
      </c>
      <c r="AV122" s="304" t="e">
        <f t="shared" si="73"/>
        <v>#N/A</v>
      </c>
      <c r="AW122" s="304" t="b">
        <f t="shared" si="74"/>
        <v>0</v>
      </c>
      <c r="AX122" s="304">
        <f t="shared" si="75"/>
        <v>0</v>
      </c>
      <c r="AY122" s="304">
        <f t="shared" si="67"/>
        <v>0</v>
      </c>
      <c r="AZ122" s="304">
        <f t="shared" si="68"/>
        <v>0</v>
      </c>
      <c r="BA122" s="304">
        <f t="shared" si="79"/>
        <v>0</v>
      </c>
      <c r="BB122" s="304">
        <f t="shared" si="80"/>
        <v>0</v>
      </c>
      <c r="BC122" s="304">
        <f t="shared" si="69"/>
        <v>0</v>
      </c>
      <c r="BD122" s="304">
        <f t="shared" si="76"/>
        <v>0</v>
      </c>
      <c r="BE122" s="304">
        <f t="shared" si="77"/>
        <v>0</v>
      </c>
      <c r="BF122" s="304">
        <f t="shared" si="78"/>
        <v>0</v>
      </c>
      <c r="BG122" s="304">
        <f t="shared" si="70"/>
        <v>0</v>
      </c>
      <c r="BH122" s="304">
        <f t="shared" si="71"/>
        <v>0</v>
      </c>
      <c r="BI122" s="304">
        <f t="shared" si="72"/>
        <v>0</v>
      </c>
    </row>
    <row r="123" spans="2:61" ht="360" x14ac:dyDescent="0.2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89"/>
      <c r="M123" s="89"/>
      <c r="N123" s="115"/>
      <c r="O123" s="115"/>
      <c r="P123" s="278">
        <f t="shared" si="62"/>
        <v>38</v>
      </c>
      <c r="Q123" s="68" t="s">
        <v>271</v>
      </c>
      <c r="R123" s="277">
        <v>38</v>
      </c>
      <c r="S123" s="319" t="s">
        <v>2332</v>
      </c>
      <c r="T123" s="319"/>
      <c r="U123" s="304">
        <v>86</v>
      </c>
      <c r="V123" s="306" t="s">
        <v>30</v>
      </c>
      <c r="W123" s="319" t="s">
        <v>433</v>
      </c>
      <c r="X123" s="304">
        <v>86</v>
      </c>
      <c r="AP123" s="304">
        <f t="shared" si="83"/>
        <v>0</v>
      </c>
      <c r="AQ123" s="304">
        <f t="shared" si="81"/>
        <v>0</v>
      </c>
      <c r="AR123" s="304">
        <f t="shared" si="65"/>
        <v>0</v>
      </c>
      <c r="AS123" s="304">
        <f t="shared" si="66"/>
        <v>0</v>
      </c>
      <c r="AU123" s="304" t="e">
        <f>VLOOKUP(AR123,'Priority rules'!$U$15:$V$32,2,FALSE)</f>
        <v>#N/A</v>
      </c>
      <c r="AV123" s="304" t="e">
        <f t="shared" si="73"/>
        <v>#N/A</v>
      </c>
      <c r="AW123" s="304" t="b">
        <f t="shared" si="74"/>
        <v>0</v>
      </c>
      <c r="AX123" s="304">
        <f t="shared" si="75"/>
        <v>0</v>
      </c>
      <c r="AY123" s="304">
        <f t="shared" si="67"/>
        <v>0</v>
      </c>
      <c r="AZ123" s="304">
        <f t="shared" si="68"/>
        <v>0</v>
      </c>
      <c r="BA123" s="304">
        <f t="shared" si="79"/>
        <v>0</v>
      </c>
      <c r="BB123" s="304">
        <f t="shared" si="80"/>
        <v>0</v>
      </c>
      <c r="BC123" s="304">
        <f t="shared" si="69"/>
        <v>0</v>
      </c>
      <c r="BD123" s="304">
        <f t="shared" si="76"/>
        <v>0</v>
      </c>
      <c r="BE123" s="304">
        <f t="shared" si="77"/>
        <v>0</v>
      </c>
      <c r="BF123" s="304">
        <f t="shared" si="78"/>
        <v>0</v>
      </c>
      <c r="BG123" s="304">
        <f t="shared" si="70"/>
        <v>0</v>
      </c>
      <c r="BH123" s="304">
        <f t="shared" si="71"/>
        <v>0</v>
      </c>
      <c r="BI123" s="304">
        <f t="shared" si="72"/>
        <v>0</v>
      </c>
    </row>
    <row r="124" spans="2:61" ht="375" x14ac:dyDescent="0.2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89"/>
      <c r="M124" s="89"/>
      <c r="N124" s="115"/>
      <c r="O124" s="115"/>
      <c r="P124" s="278">
        <f t="shared" si="62"/>
        <v>37</v>
      </c>
      <c r="Q124" s="68" t="s">
        <v>272</v>
      </c>
      <c r="R124" s="277">
        <v>37</v>
      </c>
      <c r="S124" s="319" t="s">
        <v>2333</v>
      </c>
      <c r="T124" s="319"/>
      <c r="U124" s="304">
        <v>85</v>
      </c>
      <c r="V124" s="306" t="s">
        <v>434</v>
      </c>
      <c r="W124" s="319" t="s">
        <v>435</v>
      </c>
      <c r="X124" s="304">
        <v>85</v>
      </c>
      <c r="AP124" s="304">
        <f t="shared" si="83"/>
        <v>0</v>
      </c>
      <c r="AQ124" s="304">
        <f t="shared" si="81"/>
        <v>0</v>
      </c>
      <c r="AR124" s="304">
        <f t="shared" si="65"/>
        <v>0</v>
      </c>
      <c r="AS124" s="304">
        <f t="shared" si="66"/>
        <v>0</v>
      </c>
      <c r="AU124" s="304" t="e">
        <f>VLOOKUP(AR124,'Priority rules'!$U$15:$V$32,2,FALSE)</f>
        <v>#N/A</v>
      </c>
      <c r="AV124" s="304" t="e">
        <f t="shared" si="73"/>
        <v>#N/A</v>
      </c>
      <c r="AW124" s="304" t="b">
        <f t="shared" si="74"/>
        <v>0</v>
      </c>
      <c r="AX124" s="304">
        <f t="shared" si="75"/>
        <v>0</v>
      </c>
      <c r="AY124" s="304">
        <f t="shared" si="67"/>
        <v>0</v>
      </c>
      <c r="AZ124" s="304">
        <f t="shared" si="68"/>
        <v>0</v>
      </c>
      <c r="BA124" s="304">
        <f t="shared" si="79"/>
        <v>0</v>
      </c>
      <c r="BB124" s="304">
        <f t="shared" si="80"/>
        <v>0</v>
      </c>
      <c r="BC124" s="304">
        <f t="shared" si="69"/>
        <v>0</v>
      </c>
      <c r="BD124" s="304">
        <f t="shared" si="76"/>
        <v>0</v>
      </c>
      <c r="BE124" s="304">
        <f t="shared" si="77"/>
        <v>0</v>
      </c>
      <c r="BF124" s="304">
        <f t="shared" si="78"/>
        <v>0</v>
      </c>
      <c r="BG124" s="304">
        <f t="shared" si="70"/>
        <v>0</v>
      </c>
      <c r="BH124" s="304">
        <f t="shared" si="71"/>
        <v>0</v>
      </c>
      <c r="BI124" s="304">
        <f t="shared" si="72"/>
        <v>0</v>
      </c>
    </row>
    <row r="125" spans="2:61" ht="210" x14ac:dyDescent="0.2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89"/>
      <c r="M125" s="89"/>
      <c r="N125" s="115"/>
      <c r="O125" s="115"/>
      <c r="P125" s="278">
        <f t="shared" si="62"/>
        <v>36</v>
      </c>
      <c r="Q125" s="68" t="s">
        <v>273</v>
      </c>
      <c r="R125" s="277">
        <v>36</v>
      </c>
      <c r="S125" s="319" t="s">
        <v>366</v>
      </c>
      <c r="T125" s="319"/>
      <c r="U125" s="304">
        <v>84</v>
      </c>
      <c r="V125" s="306" t="s">
        <v>93</v>
      </c>
      <c r="W125" s="320" t="s">
        <v>436</v>
      </c>
      <c r="X125" s="304">
        <v>84</v>
      </c>
      <c r="AP125" s="304">
        <f t="shared" si="83"/>
        <v>0</v>
      </c>
      <c r="AQ125" s="304">
        <f t="shared" si="81"/>
        <v>0</v>
      </c>
      <c r="AR125" s="304">
        <f t="shared" si="65"/>
        <v>0</v>
      </c>
      <c r="AS125" s="304">
        <f t="shared" si="66"/>
        <v>0</v>
      </c>
      <c r="AU125" s="304" t="e">
        <f>VLOOKUP(AR125,'Priority rules'!$U$15:$V$32,2,FALSE)</f>
        <v>#N/A</v>
      </c>
      <c r="AV125" s="304" t="e">
        <f t="shared" si="73"/>
        <v>#N/A</v>
      </c>
      <c r="AW125" s="304" t="b">
        <f t="shared" si="74"/>
        <v>0</v>
      </c>
      <c r="AX125" s="304">
        <f t="shared" si="75"/>
        <v>0</v>
      </c>
      <c r="AY125" s="304">
        <f t="shared" si="67"/>
        <v>0</v>
      </c>
      <c r="AZ125" s="304">
        <f t="shared" si="68"/>
        <v>0</v>
      </c>
      <c r="BA125" s="304">
        <f t="shared" si="79"/>
        <v>0</v>
      </c>
      <c r="BB125" s="304">
        <f t="shared" si="80"/>
        <v>0</v>
      </c>
      <c r="BC125" s="304">
        <f t="shared" si="69"/>
        <v>0</v>
      </c>
      <c r="BD125" s="304">
        <f t="shared" si="76"/>
        <v>0</v>
      </c>
      <c r="BE125" s="304">
        <f t="shared" si="77"/>
        <v>0</v>
      </c>
      <c r="BF125" s="304">
        <f t="shared" si="78"/>
        <v>0</v>
      </c>
      <c r="BG125" s="304">
        <f t="shared" si="70"/>
        <v>0</v>
      </c>
      <c r="BH125" s="304">
        <f t="shared" si="71"/>
        <v>0</v>
      </c>
      <c r="BI125" s="304">
        <f t="shared" si="72"/>
        <v>0</v>
      </c>
    </row>
    <row r="126" spans="2:61" ht="345" x14ac:dyDescent="0.2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89"/>
      <c r="M126" s="89"/>
      <c r="N126" s="115"/>
      <c r="O126" s="115"/>
      <c r="P126" s="278">
        <f t="shared" si="62"/>
        <v>35</v>
      </c>
      <c r="Q126" s="68" t="s">
        <v>116</v>
      </c>
      <c r="R126" s="277">
        <v>35</v>
      </c>
      <c r="S126" s="319" t="s">
        <v>2334</v>
      </c>
      <c r="T126" s="319"/>
      <c r="U126" s="304">
        <v>83</v>
      </c>
      <c r="V126" s="306" t="s">
        <v>108</v>
      </c>
      <c r="W126" s="319" t="s">
        <v>437</v>
      </c>
      <c r="X126" s="304">
        <v>83</v>
      </c>
      <c r="AP126" s="304">
        <f t="shared" si="83"/>
        <v>0</v>
      </c>
      <c r="AQ126" s="304">
        <f t="shared" si="81"/>
        <v>0</v>
      </c>
      <c r="AR126" s="304">
        <f t="shared" ref="AR126:AR155" si="84">LARGE($AP$30:$AP$155,ROW()-ROW($AP$30)+1)</f>
        <v>0</v>
      </c>
      <c r="AS126" s="304">
        <f t="shared" ref="AS126:AS155" si="85">VLOOKUP(AR126,$AP$30:$AQ$155,2,FALSE)</f>
        <v>0</v>
      </c>
      <c r="AU126" s="304" t="e">
        <f>VLOOKUP(AR126,'Priority rules'!$U$15:$V$32,2,FALSE)</f>
        <v>#N/A</v>
      </c>
      <c r="AV126" s="304" t="e">
        <f t="shared" si="73"/>
        <v>#N/A</v>
      </c>
      <c r="AW126" s="304" t="b">
        <f t="shared" si="74"/>
        <v>0</v>
      </c>
      <c r="AX126" s="304">
        <f t="shared" si="75"/>
        <v>0</v>
      </c>
      <c r="AY126" s="304">
        <f t="shared" ref="AY126:AY155" si="86">LARGE($AX$30:$AX$155,ROW()-ROW($AX$30)+1)</f>
        <v>0</v>
      </c>
      <c r="AZ126" s="304">
        <f t="shared" ref="AZ126:AZ155" si="87">VLOOKUP(AY126,$AP$30:$AQ$155,2,FALSE)</f>
        <v>0</v>
      </c>
      <c r="BA126" s="304">
        <f t="shared" si="79"/>
        <v>0</v>
      </c>
      <c r="BB126" s="304">
        <f t="shared" si="80"/>
        <v>0</v>
      </c>
      <c r="BC126" s="304">
        <f t="shared" ref="BC126:BC155" si="88">VLOOKUP(BB126,$AP$30:$AQ$155,2,FALSE)</f>
        <v>0</v>
      </c>
      <c r="BD126" s="304">
        <f t="shared" si="76"/>
        <v>0</v>
      </c>
      <c r="BE126" s="304">
        <f t="shared" si="77"/>
        <v>0</v>
      </c>
      <c r="BF126" s="304">
        <f t="shared" si="78"/>
        <v>0</v>
      </c>
      <c r="BG126" s="304">
        <f t="shared" ref="BG126:BG156" si="89">LARGE($BD$30:$BD$155,ROW()-ROW($BD$30)+1)</f>
        <v>0</v>
      </c>
      <c r="BH126" s="304">
        <f t="shared" ref="BH126:BH156" si="90">LARGE($BE$30:$BE$155,ROW()-ROW($BE$30)+1)</f>
        <v>0</v>
      </c>
      <c r="BI126" s="304">
        <f t="shared" ref="BI126:BI156" si="91">LARGE($BF$30:$BF$155,ROW()-ROW($BF$30)+1)</f>
        <v>0</v>
      </c>
    </row>
    <row r="127" spans="2:61" ht="360" x14ac:dyDescent="0.2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89"/>
      <c r="M127" s="89"/>
      <c r="N127" s="115"/>
      <c r="O127" s="115"/>
      <c r="P127" s="278">
        <f t="shared" si="62"/>
        <v>34</v>
      </c>
      <c r="Q127" s="68" t="s">
        <v>118</v>
      </c>
      <c r="R127" s="277">
        <v>34</v>
      </c>
      <c r="S127" s="319" t="s">
        <v>2335</v>
      </c>
      <c r="T127" s="319"/>
      <c r="U127" s="304">
        <v>82</v>
      </c>
      <c r="V127" s="306" t="s">
        <v>438</v>
      </c>
      <c r="W127" s="319" t="s">
        <v>439</v>
      </c>
      <c r="X127" s="304">
        <v>82</v>
      </c>
      <c r="AP127" s="304">
        <f t="shared" si="83"/>
        <v>0</v>
      </c>
      <c r="AQ127" s="304">
        <f t="shared" si="81"/>
        <v>0</v>
      </c>
      <c r="AR127" s="304">
        <f t="shared" si="84"/>
        <v>0</v>
      </c>
      <c r="AS127" s="304">
        <f t="shared" si="85"/>
        <v>0</v>
      </c>
      <c r="AU127" s="304" t="e">
        <f>VLOOKUP(AR127,'Priority rules'!$U$15:$V$32,2,FALSE)</f>
        <v>#N/A</v>
      </c>
      <c r="AV127" s="304" t="e">
        <f t="shared" si="73"/>
        <v>#N/A</v>
      </c>
      <c r="AW127" s="304" t="b">
        <f t="shared" si="74"/>
        <v>0</v>
      </c>
      <c r="AX127" s="304">
        <f t="shared" si="75"/>
        <v>0</v>
      </c>
      <c r="AY127" s="304">
        <f t="shared" si="86"/>
        <v>0</v>
      </c>
      <c r="AZ127" s="304">
        <f t="shared" si="87"/>
        <v>0</v>
      </c>
      <c r="BA127" s="304">
        <f t="shared" si="79"/>
        <v>0</v>
      </c>
      <c r="BB127" s="304">
        <f t="shared" si="80"/>
        <v>0</v>
      </c>
      <c r="BC127" s="304">
        <f t="shared" si="88"/>
        <v>0</v>
      </c>
      <c r="BD127" s="304">
        <f t="shared" si="76"/>
        <v>0</v>
      </c>
      <c r="BE127" s="304">
        <f t="shared" si="77"/>
        <v>0</v>
      </c>
      <c r="BF127" s="304">
        <f t="shared" si="78"/>
        <v>0</v>
      </c>
      <c r="BG127" s="304">
        <f t="shared" si="89"/>
        <v>0</v>
      </c>
      <c r="BH127" s="304">
        <f t="shared" si="90"/>
        <v>0</v>
      </c>
      <c r="BI127" s="304">
        <f t="shared" si="91"/>
        <v>0</v>
      </c>
    </row>
    <row r="128" spans="2:61" ht="409.5" x14ac:dyDescent="0.2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89"/>
      <c r="M128" s="89"/>
      <c r="N128" s="115"/>
      <c r="O128" s="115"/>
      <c r="P128" s="278">
        <f t="shared" si="62"/>
        <v>33</v>
      </c>
      <c r="Q128" s="68" t="s">
        <v>120</v>
      </c>
      <c r="R128" s="277">
        <v>33</v>
      </c>
      <c r="S128" s="319" t="s">
        <v>2336</v>
      </c>
      <c r="T128" s="319"/>
      <c r="U128" s="304">
        <v>81</v>
      </c>
      <c r="V128" s="306" t="s">
        <v>100</v>
      </c>
      <c r="W128" s="319" t="s">
        <v>440</v>
      </c>
      <c r="X128" s="304">
        <v>81</v>
      </c>
      <c r="AP128" s="304">
        <f t="shared" si="83"/>
        <v>0</v>
      </c>
      <c r="AQ128" s="304">
        <f t="shared" si="81"/>
        <v>0</v>
      </c>
      <c r="AR128" s="304">
        <f t="shared" si="84"/>
        <v>0</v>
      </c>
      <c r="AS128" s="304">
        <f t="shared" si="85"/>
        <v>0</v>
      </c>
      <c r="AU128" s="304" t="e">
        <f>VLOOKUP(AR128,'Priority rules'!$U$15:$V$32,2,FALSE)</f>
        <v>#N/A</v>
      </c>
      <c r="AV128" s="304" t="e">
        <f t="shared" si="73"/>
        <v>#N/A</v>
      </c>
      <c r="AW128" s="304" t="b">
        <f t="shared" si="74"/>
        <v>0</v>
      </c>
      <c r="AX128" s="304">
        <f t="shared" si="75"/>
        <v>0</v>
      </c>
      <c r="AY128" s="304">
        <f t="shared" si="86"/>
        <v>0</v>
      </c>
      <c r="AZ128" s="304">
        <f t="shared" si="87"/>
        <v>0</v>
      </c>
      <c r="BA128" s="304">
        <f t="shared" si="79"/>
        <v>0</v>
      </c>
      <c r="BB128" s="304">
        <f t="shared" si="80"/>
        <v>0</v>
      </c>
      <c r="BC128" s="304">
        <f t="shared" si="88"/>
        <v>0</v>
      </c>
      <c r="BD128" s="304">
        <f t="shared" si="76"/>
        <v>0</v>
      </c>
      <c r="BE128" s="304">
        <f t="shared" si="77"/>
        <v>0</v>
      </c>
      <c r="BF128" s="304">
        <f t="shared" si="78"/>
        <v>0</v>
      </c>
      <c r="BG128" s="304">
        <f t="shared" si="89"/>
        <v>0</v>
      </c>
      <c r="BH128" s="304">
        <f t="shared" si="90"/>
        <v>0</v>
      </c>
      <c r="BI128" s="304">
        <f t="shared" si="91"/>
        <v>0</v>
      </c>
    </row>
    <row r="129" spans="2:61" ht="409.5" x14ac:dyDescent="0.25">
      <c r="B129" s="67">
        <f t="shared" ref="B129:B145" si="92">IF(BB142=0,0,VLOOKUP(BB142,$U$73:$V$208,2,FALSE))</f>
        <v>0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89">
        <f>IF(B129=0,0,VLOOKUP(B129,'P phrases'!$B$2:$I$137,IF($R$2='P phrases'!$A$2,2,IF($R$2='P phrases'!$A$3,3,IF($R$2='P phrases'!$A$4,4,IF($R$2='P phrases'!$A$5,5,IF($R$2='P phrases'!$A$6,6,IF($R$2='P phrases'!$A$7,7,IF($R$2='P phrases'!$A$8,8,2))))))),FALSE))</f>
        <v>0</v>
      </c>
      <c r="M129" s="89">
        <f t="shared" ref="M129:M145" si="93">IF(BC142=0,0,IF(BC142=1, $S$29,IF(BC142=2,$AA$29,IF(BC142=3,$AI$29,0))))</f>
        <v>0</v>
      </c>
      <c r="N129" s="115"/>
      <c r="O129" s="115"/>
      <c r="P129" s="278">
        <f t="shared" si="62"/>
        <v>32</v>
      </c>
      <c r="Q129" s="68" t="s">
        <v>122</v>
      </c>
      <c r="R129" s="277">
        <v>32</v>
      </c>
      <c r="S129" s="319" t="s">
        <v>2337</v>
      </c>
      <c r="T129" s="319"/>
      <c r="U129" s="304">
        <v>80</v>
      </c>
      <c r="V129" s="306" t="s">
        <v>441</v>
      </c>
      <c r="W129" s="319" t="s">
        <v>442</v>
      </c>
      <c r="X129" s="304">
        <v>80</v>
      </c>
      <c r="AP129" s="304">
        <f t="shared" si="83"/>
        <v>0</v>
      </c>
      <c r="AQ129" s="304">
        <f t="shared" si="81"/>
        <v>0</v>
      </c>
      <c r="AR129" s="304">
        <f t="shared" si="84"/>
        <v>0</v>
      </c>
      <c r="AS129" s="304">
        <f t="shared" si="85"/>
        <v>0</v>
      </c>
      <c r="AU129" s="304" t="e">
        <f>VLOOKUP(AR129,'Priority rules'!$U$15:$V$32,2,FALSE)</f>
        <v>#N/A</v>
      </c>
      <c r="AV129" s="304" t="e">
        <f t="shared" si="73"/>
        <v>#N/A</v>
      </c>
      <c r="AW129" s="304" t="b">
        <f t="shared" si="74"/>
        <v>0</v>
      </c>
      <c r="AX129" s="304">
        <f t="shared" si="75"/>
        <v>0</v>
      </c>
      <c r="AY129" s="304">
        <f t="shared" si="86"/>
        <v>0</v>
      </c>
      <c r="AZ129" s="304">
        <f t="shared" si="87"/>
        <v>0</v>
      </c>
      <c r="BA129" s="304">
        <f t="shared" si="79"/>
        <v>0</v>
      </c>
      <c r="BB129" s="304">
        <f t="shared" si="80"/>
        <v>0</v>
      </c>
      <c r="BC129" s="304">
        <f t="shared" si="88"/>
        <v>0</v>
      </c>
      <c r="BD129" s="304">
        <f t="shared" si="76"/>
        <v>0</v>
      </c>
      <c r="BE129" s="304">
        <f t="shared" si="77"/>
        <v>0</v>
      </c>
      <c r="BF129" s="304">
        <f t="shared" si="78"/>
        <v>0</v>
      </c>
      <c r="BG129" s="304">
        <f t="shared" si="89"/>
        <v>0</v>
      </c>
      <c r="BH129" s="304">
        <f t="shared" si="90"/>
        <v>0</v>
      </c>
      <c r="BI129" s="304">
        <f t="shared" si="91"/>
        <v>0</v>
      </c>
    </row>
    <row r="130" spans="2:61" ht="240" x14ac:dyDescent="0.25">
      <c r="B130" s="67">
        <f t="shared" si="92"/>
        <v>0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89">
        <f>IF(B130=0,0,VLOOKUP(B130,'P phrases'!$B$2:$I$137,IF($R$2='P phrases'!$A$2,2,IF($R$2='P phrases'!$A$3,3,IF($R$2='P phrases'!$A$4,4,IF($R$2='P phrases'!$A$5,5,IF($R$2='P phrases'!$A$6,6,IF($R$2='P phrases'!$A$7,7,IF($R$2='P phrases'!$A$8,8,2))))))),FALSE))</f>
        <v>0</v>
      </c>
      <c r="M130" s="89">
        <f t="shared" si="93"/>
        <v>0</v>
      </c>
      <c r="N130" s="115"/>
      <c r="O130" s="115"/>
      <c r="P130" s="278">
        <f t="shared" si="62"/>
        <v>31</v>
      </c>
      <c r="Q130" s="68" t="s">
        <v>125</v>
      </c>
      <c r="R130" s="277">
        <v>31</v>
      </c>
      <c r="S130" s="319" t="s">
        <v>367</v>
      </c>
      <c r="T130" s="319"/>
      <c r="U130" s="304">
        <v>79</v>
      </c>
      <c r="V130" s="306" t="s">
        <v>61</v>
      </c>
      <c r="W130" s="319" t="s">
        <v>443</v>
      </c>
      <c r="X130" s="304">
        <v>79</v>
      </c>
      <c r="AP130" s="304">
        <f t="shared" si="83"/>
        <v>0</v>
      </c>
      <c r="AQ130" s="304">
        <f t="shared" si="81"/>
        <v>0</v>
      </c>
      <c r="AR130" s="304">
        <f t="shared" si="84"/>
        <v>0</v>
      </c>
      <c r="AS130" s="304">
        <f t="shared" si="85"/>
        <v>0</v>
      </c>
      <c r="AU130" s="304" t="e">
        <f>VLOOKUP(AR130,'Priority rules'!$U$15:$V$32,2,FALSE)</f>
        <v>#N/A</v>
      </c>
      <c r="AV130" s="304" t="e">
        <f t="shared" si="73"/>
        <v>#N/A</v>
      </c>
      <c r="AW130" s="304" t="b">
        <f t="shared" si="74"/>
        <v>0</v>
      </c>
      <c r="AX130" s="304">
        <f t="shared" si="75"/>
        <v>0</v>
      </c>
      <c r="AY130" s="304">
        <f t="shared" si="86"/>
        <v>0</v>
      </c>
      <c r="AZ130" s="304">
        <f t="shared" si="87"/>
        <v>0</v>
      </c>
      <c r="BA130" s="304">
        <f t="shared" si="79"/>
        <v>0</v>
      </c>
      <c r="BB130" s="304">
        <f t="shared" si="80"/>
        <v>0</v>
      </c>
      <c r="BC130" s="304">
        <f t="shared" si="88"/>
        <v>0</v>
      </c>
      <c r="BD130" s="304">
        <f t="shared" si="76"/>
        <v>0</v>
      </c>
      <c r="BE130" s="304">
        <f t="shared" si="77"/>
        <v>0</v>
      </c>
      <c r="BF130" s="304">
        <f t="shared" si="78"/>
        <v>0</v>
      </c>
      <c r="BG130" s="304">
        <f t="shared" si="89"/>
        <v>0</v>
      </c>
      <c r="BH130" s="304">
        <f t="shared" si="90"/>
        <v>0</v>
      </c>
      <c r="BI130" s="304">
        <f t="shared" si="91"/>
        <v>0</v>
      </c>
    </row>
    <row r="131" spans="2:61" ht="105" x14ac:dyDescent="0.25">
      <c r="B131" s="67">
        <f t="shared" si="92"/>
        <v>0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89">
        <f>IF(B131=0,0,VLOOKUP(B131,'P phrases'!$B$2:$I$137,IF($R$2='P phrases'!$A$2,2,IF($R$2='P phrases'!$A$3,3,IF($R$2='P phrases'!$A$4,4,IF($R$2='P phrases'!$A$5,5,IF($R$2='P phrases'!$A$6,6,IF($R$2='P phrases'!$A$7,7,IF($R$2='P phrases'!$A$8,8,2))))))),FALSE))</f>
        <v>0</v>
      </c>
      <c r="M131" s="89">
        <f t="shared" si="93"/>
        <v>0</v>
      </c>
      <c r="N131" s="115"/>
      <c r="O131" s="115"/>
      <c r="P131" s="278">
        <f t="shared" si="62"/>
        <v>30</v>
      </c>
      <c r="Q131" s="68" t="s">
        <v>128</v>
      </c>
      <c r="R131" s="277">
        <v>30</v>
      </c>
      <c r="S131" s="319" t="s">
        <v>368</v>
      </c>
      <c r="T131" s="319"/>
      <c r="U131" s="304">
        <v>78</v>
      </c>
      <c r="V131" s="306" t="s">
        <v>444</v>
      </c>
      <c r="W131" s="319" t="s">
        <v>445</v>
      </c>
      <c r="X131" s="304">
        <v>78</v>
      </c>
      <c r="AP131" s="304">
        <f t="shared" si="83"/>
        <v>0</v>
      </c>
      <c r="AQ131" s="304">
        <f t="shared" si="81"/>
        <v>0</v>
      </c>
      <c r="AR131" s="304">
        <f t="shared" si="84"/>
        <v>0</v>
      </c>
      <c r="AS131" s="304">
        <f t="shared" si="85"/>
        <v>0</v>
      </c>
      <c r="AU131" s="304" t="e">
        <f>VLOOKUP(AR131,'Priority rules'!$U$15:$V$32,2,FALSE)</f>
        <v>#N/A</v>
      </c>
      <c r="AV131" s="304" t="e">
        <f t="shared" si="73"/>
        <v>#N/A</v>
      </c>
      <c r="AW131" s="304" t="b">
        <f t="shared" si="74"/>
        <v>0</v>
      </c>
      <c r="AX131" s="304">
        <f t="shared" si="75"/>
        <v>0</v>
      </c>
      <c r="AY131" s="304">
        <f t="shared" si="86"/>
        <v>0</v>
      </c>
      <c r="AZ131" s="304">
        <f t="shared" si="87"/>
        <v>0</v>
      </c>
      <c r="BA131" s="304">
        <f t="shared" si="79"/>
        <v>0</v>
      </c>
      <c r="BB131" s="304">
        <f t="shared" si="80"/>
        <v>0</v>
      </c>
      <c r="BC131" s="304">
        <f t="shared" si="88"/>
        <v>0</v>
      </c>
      <c r="BD131" s="304">
        <f t="shared" si="76"/>
        <v>0</v>
      </c>
      <c r="BE131" s="304">
        <f t="shared" si="77"/>
        <v>0</v>
      </c>
      <c r="BF131" s="304">
        <f t="shared" si="78"/>
        <v>0</v>
      </c>
      <c r="BG131" s="304">
        <f t="shared" si="89"/>
        <v>0</v>
      </c>
      <c r="BH131" s="304">
        <f t="shared" si="90"/>
        <v>0</v>
      </c>
      <c r="BI131" s="304">
        <f t="shared" si="91"/>
        <v>0</v>
      </c>
    </row>
    <row r="132" spans="2:61" ht="120" x14ac:dyDescent="0.25">
      <c r="B132" s="67">
        <f t="shared" si="92"/>
        <v>0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89">
        <f>IF(B132=0,0,VLOOKUP(B132,'P phrases'!$B$2:$I$137,IF($R$2='P phrases'!$A$2,2,IF($R$2='P phrases'!$A$3,3,IF($R$2='P phrases'!$A$4,4,IF($R$2='P phrases'!$A$5,5,IF($R$2='P phrases'!$A$6,6,IF($R$2='P phrases'!$A$7,7,IF($R$2='P phrases'!$A$8,8,2))))))),FALSE))</f>
        <v>0</v>
      </c>
      <c r="M132" s="89">
        <f t="shared" si="93"/>
        <v>0</v>
      </c>
      <c r="N132" s="115"/>
      <c r="O132" s="115"/>
      <c r="P132" s="278">
        <f t="shared" si="62"/>
        <v>29</v>
      </c>
      <c r="Q132" s="68" t="s">
        <v>129</v>
      </c>
      <c r="R132" s="277">
        <v>29</v>
      </c>
      <c r="S132" s="319" t="s">
        <v>369</v>
      </c>
      <c r="T132" s="319"/>
      <c r="U132" s="304">
        <v>77</v>
      </c>
      <c r="V132" s="306" t="s">
        <v>117</v>
      </c>
      <c r="W132" s="319" t="s">
        <v>446</v>
      </c>
      <c r="X132" s="304">
        <v>77</v>
      </c>
      <c r="AP132" s="304">
        <f t="shared" si="83"/>
        <v>0</v>
      </c>
      <c r="AQ132" s="304">
        <f t="shared" si="81"/>
        <v>0</v>
      </c>
      <c r="AR132" s="304">
        <f t="shared" si="84"/>
        <v>0</v>
      </c>
      <c r="AS132" s="304">
        <f t="shared" si="85"/>
        <v>0</v>
      </c>
      <c r="AU132" s="304" t="e">
        <f>VLOOKUP(AR132,'Priority rules'!$U$15:$V$32,2,FALSE)</f>
        <v>#N/A</v>
      </c>
      <c r="AV132" s="304" t="e">
        <f t="shared" si="73"/>
        <v>#N/A</v>
      </c>
      <c r="AW132" s="304" t="b">
        <f t="shared" si="74"/>
        <v>0</v>
      </c>
      <c r="AX132" s="304">
        <f t="shared" si="75"/>
        <v>0</v>
      </c>
      <c r="AY132" s="304">
        <f t="shared" si="86"/>
        <v>0</v>
      </c>
      <c r="AZ132" s="304">
        <f t="shared" si="87"/>
        <v>0</v>
      </c>
      <c r="BA132" s="304">
        <f t="shared" si="79"/>
        <v>0</v>
      </c>
      <c r="BB132" s="304">
        <f t="shared" si="80"/>
        <v>0</v>
      </c>
      <c r="BC132" s="304">
        <f t="shared" si="88"/>
        <v>0</v>
      </c>
      <c r="BD132" s="304">
        <f t="shared" si="76"/>
        <v>0</v>
      </c>
      <c r="BE132" s="304">
        <f t="shared" si="77"/>
        <v>0</v>
      </c>
      <c r="BF132" s="304">
        <f t="shared" si="78"/>
        <v>0</v>
      </c>
      <c r="BG132" s="304">
        <f t="shared" si="89"/>
        <v>0</v>
      </c>
      <c r="BH132" s="304">
        <f t="shared" si="90"/>
        <v>0</v>
      </c>
      <c r="BI132" s="304">
        <f t="shared" si="91"/>
        <v>0</v>
      </c>
    </row>
    <row r="133" spans="2:61" ht="105" x14ac:dyDescent="0.25">
      <c r="B133" s="67">
        <f t="shared" si="92"/>
        <v>0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89">
        <f>IF(B133=0,0,VLOOKUP(B133,'P phrases'!$B$2:$I$137,IF($R$2='P phrases'!$A$2,2,IF($R$2='P phrases'!$A$3,3,IF($R$2='P phrases'!$A$4,4,IF($R$2='P phrases'!$A$5,5,IF($R$2='P phrases'!$A$6,6,IF($R$2='P phrases'!$A$7,7,IF($R$2='P phrases'!$A$8,8,2))))))),FALSE))</f>
        <v>0</v>
      </c>
      <c r="M133" s="89">
        <f t="shared" si="93"/>
        <v>0</v>
      </c>
      <c r="N133" s="115"/>
      <c r="O133" s="115"/>
      <c r="P133" s="278">
        <f t="shared" si="62"/>
        <v>28</v>
      </c>
      <c r="Q133" s="68" t="s">
        <v>130</v>
      </c>
      <c r="R133" s="277">
        <v>28</v>
      </c>
      <c r="S133" s="319" t="s">
        <v>370</v>
      </c>
      <c r="T133" s="319"/>
      <c r="U133" s="304">
        <v>76</v>
      </c>
      <c r="V133" s="306" t="s">
        <v>447</v>
      </c>
      <c r="W133" s="319" t="s">
        <v>448</v>
      </c>
      <c r="X133" s="304">
        <v>76</v>
      </c>
      <c r="AP133" s="304">
        <f t="shared" si="83"/>
        <v>0</v>
      </c>
      <c r="AQ133" s="304">
        <f t="shared" si="81"/>
        <v>0</v>
      </c>
      <c r="AR133" s="304">
        <f t="shared" si="84"/>
        <v>0</v>
      </c>
      <c r="AS133" s="304">
        <f t="shared" si="85"/>
        <v>0</v>
      </c>
      <c r="AU133" s="304" t="e">
        <f>VLOOKUP(AR133,'Priority rules'!$U$15:$V$32,2,FALSE)</f>
        <v>#N/A</v>
      </c>
      <c r="AV133" s="304" t="e">
        <f t="shared" si="73"/>
        <v>#N/A</v>
      </c>
      <c r="AW133" s="304" t="b">
        <f t="shared" si="74"/>
        <v>0</v>
      </c>
      <c r="AX133" s="304">
        <f t="shared" si="75"/>
        <v>0</v>
      </c>
      <c r="AY133" s="304">
        <f t="shared" si="86"/>
        <v>0</v>
      </c>
      <c r="AZ133" s="304">
        <f t="shared" si="87"/>
        <v>0</v>
      </c>
      <c r="BA133" s="304">
        <f t="shared" si="79"/>
        <v>0</v>
      </c>
      <c r="BB133" s="304">
        <f t="shared" si="80"/>
        <v>0</v>
      </c>
      <c r="BC133" s="304">
        <f t="shared" si="88"/>
        <v>0</v>
      </c>
      <c r="BD133" s="304">
        <f t="shared" si="76"/>
        <v>0</v>
      </c>
      <c r="BE133" s="304">
        <f t="shared" si="77"/>
        <v>0</v>
      </c>
      <c r="BF133" s="304">
        <f t="shared" si="78"/>
        <v>0</v>
      </c>
      <c r="BG133" s="304">
        <f t="shared" si="89"/>
        <v>0</v>
      </c>
      <c r="BH133" s="304">
        <f t="shared" si="90"/>
        <v>0</v>
      </c>
      <c r="BI133" s="304">
        <f t="shared" si="91"/>
        <v>0</v>
      </c>
    </row>
    <row r="134" spans="2:61" ht="135" x14ac:dyDescent="0.25">
      <c r="B134" s="67">
        <f t="shared" si="92"/>
        <v>0</v>
      </c>
      <c r="C134" s="67"/>
      <c r="D134" s="67"/>
      <c r="E134" s="67"/>
      <c r="F134" s="67"/>
      <c r="G134" s="67"/>
      <c r="H134" s="67"/>
      <c r="I134" s="67"/>
      <c r="J134" s="67"/>
      <c r="K134" s="67"/>
      <c r="L134" s="89">
        <f>IF(B134=0,0,VLOOKUP(B134,'P phrases'!$B$2:$I$137,IF($R$2='P phrases'!$A$2,2,IF($R$2='P phrases'!$A$3,3,IF($R$2='P phrases'!$A$4,4,IF($R$2='P phrases'!$A$5,5,IF($R$2='P phrases'!$A$6,6,IF($R$2='P phrases'!$A$7,7,IF($R$2='P phrases'!$A$8,8,2))))))),FALSE))</f>
        <v>0</v>
      </c>
      <c r="M134" s="89">
        <f t="shared" si="93"/>
        <v>0</v>
      </c>
      <c r="N134" s="115"/>
      <c r="O134" s="115"/>
      <c r="P134" s="278">
        <f t="shared" si="62"/>
        <v>27</v>
      </c>
      <c r="Q134" s="68" t="s">
        <v>131</v>
      </c>
      <c r="R134" s="277">
        <v>27</v>
      </c>
      <c r="S134" s="319" t="s">
        <v>371</v>
      </c>
      <c r="T134" s="319"/>
      <c r="U134" s="304">
        <v>75</v>
      </c>
      <c r="V134" s="306" t="s">
        <v>112</v>
      </c>
      <c r="W134" s="319" t="s">
        <v>449</v>
      </c>
      <c r="X134" s="304">
        <v>75</v>
      </c>
      <c r="AP134" s="304">
        <f t="shared" si="83"/>
        <v>0</v>
      </c>
      <c r="AQ134" s="304">
        <f t="shared" si="81"/>
        <v>0</v>
      </c>
      <c r="AR134" s="304">
        <f t="shared" si="84"/>
        <v>0</v>
      </c>
      <c r="AS134" s="304">
        <f t="shared" si="85"/>
        <v>0</v>
      </c>
      <c r="AU134" s="304" t="e">
        <f>VLOOKUP(AR134,'Priority rules'!$U$15:$V$32,2,FALSE)</f>
        <v>#N/A</v>
      </c>
      <c r="AV134" s="304" t="e">
        <f t="shared" si="73"/>
        <v>#N/A</v>
      </c>
      <c r="AW134" s="304" t="b">
        <f t="shared" si="74"/>
        <v>0</v>
      </c>
      <c r="AX134" s="304">
        <f t="shared" si="75"/>
        <v>0</v>
      </c>
      <c r="AY134" s="304">
        <f t="shared" si="86"/>
        <v>0</v>
      </c>
      <c r="AZ134" s="304">
        <f t="shared" si="87"/>
        <v>0</v>
      </c>
      <c r="BA134" s="304">
        <f t="shared" si="79"/>
        <v>0</v>
      </c>
      <c r="BB134" s="304">
        <f t="shared" si="80"/>
        <v>0</v>
      </c>
      <c r="BC134" s="304">
        <f t="shared" si="88"/>
        <v>0</v>
      </c>
      <c r="BD134" s="304">
        <f t="shared" si="76"/>
        <v>0</v>
      </c>
      <c r="BE134" s="304">
        <f t="shared" si="77"/>
        <v>0</v>
      </c>
      <c r="BF134" s="304">
        <f t="shared" si="78"/>
        <v>0</v>
      </c>
      <c r="BG134" s="304">
        <f t="shared" si="89"/>
        <v>0</v>
      </c>
      <c r="BH134" s="304">
        <f t="shared" si="90"/>
        <v>0</v>
      </c>
      <c r="BI134" s="304">
        <f t="shared" si="91"/>
        <v>0</v>
      </c>
    </row>
    <row r="135" spans="2:61" ht="75" x14ac:dyDescent="0.25">
      <c r="B135" s="67">
        <f t="shared" si="92"/>
        <v>0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89">
        <f>IF(B135=0,0,VLOOKUP(B135,'P phrases'!$B$2:$I$137,IF($R$2='P phrases'!$A$2,2,IF($R$2='P phrases'!$A$3,3,IF($R$2='P phrases'!$A$4,4,IF($R$2='P phrases'!$A$5,5,IF($R$2='P phrases'!$A$6,6,IF($R$2='P phrases'!$A$7,7,IF($R$2='P phrases'!$A$8,8,2))))))),FALSE))</f>
        <v>0</v>
      </c>
      <c r="M135" s="89">
        <f t="shared" si="93"/>
        <v>0</v>
      </c>
      <c r="N135" s="115"/>
      <c r="O135" s="115"/>
      <c r="P135" s="278">
        <f t="shared" si="62"/>
        <v>26</v>
      </c>
      <c r="Q135" s="68" t="s">
        <v>276</v>
      </c>
      <c r="R135" s="277">
        <v>26</v>
      </c>
      <c r="S135" s="304" t="s">
        <v>372</v>
      </c>
      <c r="U135" s="304">
        <v>74</v>
      </c>
      <c r="V135" s="306" t="s">
        <v>450</v>
      </c>
      <c r="W135" s="319" t="s">
        <v>451</v>
      </c>
      <c r="X135" s="304">
        <v>74</v>
      </c>
      <c r="AP135" s="304">
        <f t="shared" si="83"/>
        <v>0</v>
      </c>
      <c r="AQ135" s="304">
        <f t="shared" si="81"/>
        <v>0</v>
      </c>
      <c r="AR135" s="304">
        <f t="shared" si="84"/>
        <v>0</v>
      </c>
      <c r="AS135" s="304">
        <f t="shared" si="85"/>
        <v>0</v>
      </c>
      <c r="AU135" s="304" t="e">
        <f>VLOOKUP(AR135,'Priority rules'!$U$15:$V$32,2,FALSE)</f>
        <v>#N/A</v>
      </c>
      <c r="AV135" s="304" t="e">
        <f t="shared" si="73"/>
        <v>#N/A</v>
      </c>
      <c r="AW135" s="304" t="b">
        <f t="shared" si="74"/>
        <v>0</v>
      </c>
      <c r="AX135" s="304">
        <f t="shared" si="75"/>
        <v>0</v>
      </c>
      <c r="AY135" s="304">
        <f t="shared" si="86"/>
        <v>0</v>
      </c>
      <c r="AZ135" s="304">
        <f t="shared" si="87"/>
        <v>0</v>
      </c>
      <c r="BA135" s="304">
        <f t="shared" si="79"/>
        <v>0</v>
      </c>
      <c r="BB135" s="304">
        <f t="shared" si="80"/>
        <v>0</v>
      </c>
      <c r="BC135" s="304">
        <f t="shared" si="88"/>
        <v>0</v>
      </c>
      <c r="BD135" s="304">
        <f t="shared" si="76"/>
        <v>0</v>
      </c>
      <c r="BE135" s="304">
        <f t="shared" si="77"/>
        <v>0</v>
      </c>
      <c r="BF135" s="304">
        <f t="shared" si="78"/>
        <v>0</v>
      </c>
      <c r="BG135" s="304">
        <f t="shared" si="89"/>
        <v>0</v>
      </c>
      <c r="BH135" s="304">
        <f t="shared" si="90"/>
        <v>0</v>
      </c>
      <c r="BI135" s="304">
        <f t="shared" si="91"/>
        <v>0</v>
      </c>
    </row>
    <row r="136" spans="2:61" ht="165" x14ac:dyDescent="0.25">
      <c r="B136" s="67">
        <f t="shared" si="92"/>
        <v>0</v>
      </c>
      <c r="C136" s="67"/>
      <c r="D136" s="67"/>
      <c r="E136" s="67"/>
      <c r="F136" s="67"/>
      <c r="G136" s="67"/>
      <c r="H136" s="67"/>
      <c r="I136" s="67"/>
      <c r="J136" s="67"/>
      <c r="K136" s="67"/>
      <c r="L136" s="89">
        <f>IF(B136=0,0,VLOOKUP(B136,'P phrases'!$B$2:$I$137,IF($R$2='P phrases'!$A$2,2,IF($R$2='P phrases'!$A$3,3,IF($R$2='P phrases'!$A$4,4,IF($R$2='P phrases'!$A$5,5,IF($R$2='P phrases'!$A$6,6,IF($R$2='P phrases'!$A$7,7,IF($R$2='P phrases'!$A$8,8,2))))))),FALSE))</f>
        <v>0</v>
      </c>
      <c r="M136" s="89">
        <f t="shared" si="93"/>
        <v>0</v>
      </c>
      <c r="N136" s="115"/>
      <c r="O136" s="115"/>
      <c r="P136" s="278">
        <f t="shared" si="62"/>
        <v>25</v>
      </c>
      <c r="Q136" s="68" t="s">
        <v>602</v>
      </c>
      <c r="R136" s="277">
        <v>25</v>
      </c>
      <c r="S136" s="304" t="s">
        <v>629</v>
      </c>
      <c r="U136" s="304">
        <v>73</v>
      </c>
      <c r="V136" s="306" t="s">
        <v>119</v>
      </c>
      <c r="W136" s="319" t="s">
        <v>452</v>
      </c>
      <c r="X136" s="304">
        <v>73</v>
      </c>
      <c r="AP136" s="304">
        <f t="shared" si="83"/>
        <v>0</v>
      </c>
      <c r="AQ136" s="304">
        <f t="shared" si="81"/>
        <v>0</v>
      </c>
      <c r="AR136" s="304">
        <f t="shared" si="84"/>
        <v>0</v>
      </c>
      <c r="AS136" s="304">
        <f t="shared" si="85"/>
        <v>0</v>
      </c>
      <c r="AU136" s="304" t="e">
        <f>VLOOKUP(AR136,'Priority rules'!$U$15:$V$32,2,FALSE)</f>
        <v>#N/A</v>
      </c>
      <c r="AV136" s="304" t="e">
        <f t="shared" si="73"/>
        <v>#N/A</v>
      </c>
      <c r="AW136" s="304" t="b">
        <f t="shared" si="74"/>
        <v>0</v>
      </c>
      <c r="AX136" s="304">
        <f t="shared" si="75"/>
        <v>0</v>
      </c>
      <c r="AY136" s="304">
        <f t="shared" si="86"/>
        <v>0</v>
      </c>
      <c r="AZ136" s="304">
        <f t="shared" si="87"/>
        <v>0</v>
      </c>
      <c r="BA136" s="304">
        <f t="shared" si="79"/>
        <v>0</v>
      </c>
      <c r="BB136" s="304">
        <f t="shared" si="80"/>
        <v>0</v>
      </c>
      <c r="BC136" s="304">
        <f t="shared" si="88"/>
        <v>0</v>
      </c>
      <c r="BD136" s="304">
        <f t="shared" si="76"/>
        <v>0</v>
      </c>
      <c r="BE136" s="304">
        <f t="shared" si="77"/>
        <v>0</v>
      </c>
      <c r="BF136" s="304">
        <f t="shared" si="78"/>
        <v>0</v>
      </c>
      <c r="BG136" s="304">
        <f t="shared" si="89"/>
        <v>0</v>
      </c>
      <c r="BH136" s="304">
        <f t="shared" si="90"/>
        <v>0</v>
      </c>
      <c r="BI136" s="304">
        <f t="shared" si="91"/>
        <v>0</v>
      </c>
    </row>
    <row r="137" spans="2:61" ht="120" x14ac:dyDescent="0.25">
      <c r="B137" s="67">
        <f t="shared" si="92"/>
        <v>0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89">
        <f>IF(B137=0,0,VLOOKUP(B137,'P phrases'!$B$2:$I$137,IF($R$2='P phrases'!$A$2,2,IF($R$2='P phrases'!$A$3,3,IF($R$2='P phrases'!$A$4,4,IF($R$2='P phrases'!$A$5,5,IF($R$2='P phrases'!$A$6,6,IF($R$2='P phrases'!$A$7,7,IF($R$2='P phrases'!$A$8,8,2))))))),FALSE))</f>
        <v>0</v>
      </c>
      <c r="M137" s="89">
        <f t="shared" si="93"/>
        <v>0</v>
      </c>
      <c r="N137" s="115"/>
      <c r="O137" s="115"/>
      <c r="P137" s="278">
        <f t="shared" ref="P137:P159" si="94">R137</f>
        <v>24</v>
      </c>
      <c r="Q137" s="68" t="s">
        <v>603</v>
      </c>
      <c r="R137" s="277">
        <v>24</v>
      </c>
      <c r="S137" s="304" t="s">
        <v>630</v>
      </c>
      <c r="U137" s="304">
        <v>72</v>
      </c>
      <c r="V137" s="306" t="s">
        <v>82</v>
      </c>
      <c r="W137" s="319" t="s">
        <v>453</v>
      </c>
      <c r="X137" s="304">
        <v>72</v>
      </c>
      <c r="AP137" s="304">
        <f t="shared" si="83"/>
        <v>0</v>
      </c>
      <c r="AQ137" s="304">
        <f t="shared" si="81"/>
        <v>0</v>
      </c>
      <c r="AR137" s="304">
        <f t="shared" si="84"/>
        <v>0</v>
      </c>
      <c r="AS137" s="304">
        <f t="shared" si="85"/>
        <v>0</v>
      </c>
      <c r="AU137" s="304" t="e">
        <f>VLOOKUP(AR137,'Priority rules'!$U$15:$V$32,2,FALSE)</f>
        <v>#N/A</v>
      </c>
      <c r="AV137" s="304" t="e">
        <f t="shared" si="73"/>
        <v>#N/A</v>
      </c>
      <c r="AW137" s="304" t="b">
        <f t="shared" si="74"/>
        <v>0</v>
      </c>
      <c r="AX137" s="304">
        <f t="shared" si="75"/>
        <v>0</v>
      </c>
      <c r="AY137" s="304">
        <f t="shared" si="86"/>
        <v>0</v>
      </c>
      <c r="AZ137" s="304">
        <f t="shared" si="87"/>
        <v>0</v>
      </c>
      <c r="BA137" s="304">
        <f t="shared" si="79"/>
        <v>0</v>
      </c>
      <c r="BB137" s="304">
        <f t="shared" si="80"/>
        <v>0</v>
      </c>
      <c r="BC137" s="304">
        <f t="shared" si="88"/>
        <v>0</v>
      </c>
      <c r="BD137" s="304">
        <f t="shared" si="76"/>
        <v>0</v>
      </c>
      <c r="BE137" s="304">
        <f t="shared" si="77"/>
        <v>0</v>
      </c>
      <c r="BF137" s="304">
        <f t="shared" si="78"/>
        <v>0</v>
      </c>
      <c r="BG137" s="304">
        <f t="shared" si="89"/>
        <v>0</v>
      </c>
      <c r="BH137" s="304">
        <f t="shared" si="90"/>
        <v>0</v>
      </c>
      <c r="BI137" s="304">
        <f t="shared" si="91"/>
        <v>0</v>
      </c>
    </row>
    <row r="138" spans="2:61" ht="90" x14ac:dyDescent="0.25">
      <c r="B138" s="67">
        <f t="shared" si="92"/>
        <v>0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89">
        <f>IF(B138=0,0,VLOOKUP(B138,'P phrases'!$B$2:$I$137,IF($R$2='P phrases'!$A$2,2,IF($R$2='P phrases'!$A$3,3,IF($R$2='P phrases'!$A$4,4,IF($R$2='P phrases'!$A$5,5,IF($R$2='P phrases'!$A$6,6,IF($R$2='P phrases'!$A$7,7,IF($R$2='P phrases'!$A$8,8,2))))))),FALSE))</f>
        <v>0</v>
      </c>
      <c r="M138" s="89">
        <f t="shared" si="93"/>
        <v>0</v>
      </c>
      <c r="N138" s="115"/>
      <c r="O138" s="115"/>
      <c r="P138" s="278">
        <f t="shared" si="94"/>
        <v>23</v>
      </c>
      <c r="Q138" s="68" t="s">
        <v>604</v>
      </c>
      <c r="R138" s="277">
        <v>23</v>
      </c>
      <c r="S138" s="304" t="s">
        <v>631</v>
      </c>
      <c r="U138" s="304">
        <v>71</v>
      </c>
      <c r="V138" s="306" t="s">
        <v>97</v>
      </c>
      <c r="W138" s="319" t="s">
        <v>454</v>
      </c>
      <c r="X138" s="304">
        <v>71</v>
      </c>
      <c r="AP138" s="304">
        <f t="shared" si="83"/>
        <v>0</v>
      </c>
      <c r="AQ138" s="304">
        <f t="shared" si="81"/>
        <v>0</v>
      </c>
      <c r="AR138" s="304">
        <f t="shared" si="84"/>
        <v>0</v>
      </c>
      <c r="AS138" s="304">
        <f t="shared" si="85"/>
        <v>0</v>
      </c>
      <c r="AU138" s="304" t="e">
        <f>VLOOKUP(AR138,'Priority rules'!$U$15:$V$32,2,FALSE)</f>
        <v>#N/A</v>
      </c>
      <c r="AV138" s="304" t="e">
        <f t="shared" si="73"/>
        <v>#N/A</v>
      </c>
      <c r="AW138" s="304" t="b">
        <f t="shared" si="74"/>
        <v>0</v>
      </c>
      <c r="AX138" s="304">
        <f t="shared" si="75"/>
        <v>0</v>
      </c>
      <c r="AY138" s="304">
        <f t="shared" si="86"/>
        <v>0</v>
      </c>
      <c r="AZ138" s="304">
        <f t="shared" si="87"/>
        <v>0</v>
      </c>
      <c r="BA138" s="304">
        <f t="shared" si="79"/>
        <v>0</v>
      </c>
      <c r="BB138" s="304">
        <f t="shared" si="80"/>
        <v>0</v>
      </c>
      <c r="BC138" s="304">
        <f t="shared" si="88"/>
        <v>0</v>
      </c>
      <c r="BD138" s="304">
        <f t="shared" si="76"/>
        <v>0</v>
      </c>
      <c r="BE138" s="304">
        <f t="shared" si="77"/>
        <v>0</v>
      </c>
      <c r="BF138" s="304">
        <f t="shared" si="78"/>
        <v>0</v>
      </c>
      <c r="BG138" s="304">
        <f t="shared" si="89"/>
        <v>0</v>
      </c>
      <c r="BH138" s="304">
        <f t="shared" si="90"/>
        <v>0</v>
      </c>
      <c r="BI138" s="304">
        <f t="shared" si="91"/>
        <v>0</v>
      </c>
    </row>
    <row r="139" spans="2:61" ht="135" x14ac:dyDescent="0.25">
      <c r="B139" s="67">
        <f t="shared" si="92"/>
        <v>0</v>
      </c>
      <c r="C139" s="67"/>
      <c r="D139" s="67"/>
      <c r="E139" s="67"/>
      <c r="F139" s="67"/>
      <c r="G139" s="67"/>
      <c r="H139" s="67"/>
      <c r="I139" s="67"/>
      <c r="J139" s="67"/>
      <c r="K139" s="67"/>
      <c r="L139" s="89">
        <f>IF(B139=0,0,VLOOKUP(B139,'P phrases'!$B$2:$I$137,IF($R$2='P phrases'!$A$2,2,IF($R$2='P phrases'!$A$3,3,IF($R$2='P phrases'!$A$4,4,IF($R$2='P phrases'!$A$5,5,IF($R$2='P phrases'!$A$6,6,IF($R$2='P phrases'!$A$7,7,IF($R$2='P phrases'!$A$8,8,2))))))),FALSE))</f>
        <v>0</v>
      </c>
      <c r="M139" s="89">
        <f t="shared" si="93"/>
        <v>0</v>
      </c>
      <c r="N139" s="115"/>
      <c r="O139" s="115"/>
      <c r="P139" s="278">
        <f t="shared" si="94"/>
        <v>22</v>
      </c>
      <c r="Q139" s="68" t="s">
        <v>605</v>
      </c>
      <c r="R139" s="277">
        <v>22</v>
      </c>
      <c r="S139" s="304" t="s">
        <v>632</v>
      </c>
      <c r="U139" s="304">
        <v>70</v>
      </c>
      <c r="V139" s="306" t="s">
        <v>88</v>
      </c>
      <c r="W139" s="319" t="s">
        <v>455</v>
      </c>
      <c r="X139" s="304">
        <v>70</v>
      </c>
      <c r="AP139" s="304">
        <f t="shared" si="83"/>
        <v>0</v>
      </c>
      <c r="AQ139" s="304">
        <f t="shared" si="81"/>
        <v>0</v>
      </c>
      <c r="AR139" s="304">
        <f t="shared" si="84"/>
        <v>0</v>
      </c>
      <c r="AS139" s="304">
        <f t="shared" si="85"/>
        <v>0</v>
      </c>
      <c r="AU139" s="304" t="e">
        <f>VLOOKUP(AR139,'Priority rules'!$U$15:$V$32,2,FALSE)</f>
        <v>#N/A</v>
      </c>
      <c r="AV139" s="304" t="e">
        <f t="shared" si="73"/>
        <v>#N/A</v>
      </c>
      <c r="AW139" s="304" t="b">
        <f t="shared" si="74"/>
        <v>0</v>
      </c>
      <c r="AX139" s="304">
        <f t="shared" si="75"/>
        <v>0</v>
      </c>
      <c r="AY139" s="304">
        <f t="shared" si="86"/>
        <v>0</v>
      </c>
      <c r="AZ139" s="304">
        <f t="shared" si="87"/>
        <v>0</v>
      </c>
      <c r="BA139" s="304">
        <f t="shared" si="79"/>
        <v>0</v>
      </c>
      <c r="BB139" s="304">
        <f t="shared" si="80"/>
        <v>0</v>
      </c>
      <c r="BC139" s="304">
        <f t="shared" si="88"/>
        <v>0</v>
      </c>
      <c r="BD139" s="304">
        <f t="shared" si="76"/>
        <v>0</v>
      </c>
      <c r="BE139" s="304">
        <f t="shared" si="77"/>
        <v>0</v>
      </c>
      <c r="BF139" s="304">
        <f t="shared" si="78"/>
        <v>0</v>
      </c>
      <c r="BG139" s="304">
        <f t="shared" si="89"/>
        <v>0</v>
      </c>
      <c r="BH139" s="304">
        <f t="shared" si="90"/>
        <v>0</v>
      </c>
      <c r="BI139" s="304">
        <f t="shared" si="91"/>
        <v>0</v>
      </c>
    </row>
    <row r="140" spans="2:61" ht="60" x14ac:dyDescent="0.25">
      <c r="B140" s="67">
        <f t="shared" si="92"/>
        <v>0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89">
        <f>IF(B140=0,0,VLOOKUP(B140,'P phrases'!$B$2:$I$137,IF($R$2='P phrases'!$A$2,2,IF($R$2='P phrases'!$A$3,3,IF($R$2='P phrases'!$A$4,4,IF($R$2='P phrases'!$A$5,5,IF($R$2='P phrases'!$A$6,6,IF($R$2='P phrases'!$A$7,7,IF($R$2='P phrases'!$A$8,8,2))))))),FALSE))</f>
        <v>0</v>
      </c>
      <c r="M140" s="89">
        <f t="shared" si="93"/>
        <v>0</v>
      </c>
      <c r="N140" s="115"/>
      <c r="O140" s="115"/>
      <c r="P140" s="278">
        <f t="shared" si="94"/>
        <v>21</v>
      </c>
      <c r="Q140" s="68" t="s">
        <v>606</v>
      </c>
      <c r="R140" s="277">
        <v>21</v>
      </c>
      <c r="S140" s="304" t="s">
        <v>633</v>
      </c>
      <c r="U140" s="304">
        <v>69</v>
      </c>
      <c r="V140" s="306" t="s">
        <v>456</v>
      </c>
      <c r="W140" s="319" t="s">
        <v>457</v>
      </c>
      <c r="X140" s="304">
        <v>69</v>
      </c>
      <c r="AP140" s="304">
        <f t="shared" si="83"/>
        <v>0</v>
      </c>
      <c r="AQ140" s="304">
        <f t="shared" si="81"/>
        <v>0</v>
      </c>
      <c r="AR140" s="304">
        <f t="shared" si="84"/>
        <v>0</v>
      </c>
      <c r="AS140" s="304">
        <f t="shared" si="85"/>
        <v>0</v>
      </c>
      <c r="AU140" s="304" t="e">
        <f>VLOOKUP(AR140,'Priority rules'!$U$15:$V$32,2,FALSE)</f>
        <v>#N/A</v>
      </c>
      <c r="AV140" s="304" t="e">
        <f t="shared" si="73"/>
        <v>#N/A</v>
      </c>
      <c r="AW140" s="304" t="b">
        <f t="shared" si="74"/>
        <v>0</v>
      </c>
      <c r="AX140" s="304">
        <f t="shared" si="75"/>
        <v>0</v>
      </c>
      <c r="AY140" s="304">
        <f t="shared" si="86"/>
        <v>0</v>
      </c>
      <c r="AZ140" s="304">
        <f t="shared" si="87"/>
        <v>0</v>
      </c>
      <c r="BA140" s="304">
        <f t="shared" si="79"/>
        <v>0</v>
      </c>
      <c r="BB140" s="304">
        <f t="shared" si="80"/>
        <v>0</v>
      </c>
      <c r="BC140" s="304">
        <f t="shared" si="88"/>
        <v>0</v>
      </c>
      <c r="BD140" s="304">
        <f t="shared" si="76"/>
        <v>0</v>
      </c>
      <c r="BE140" s="304">
        <f t="shared" si="77"/>
        <v>0</v>
      </c>
      <c r="BF140" s="304">
        <f t="shared" si="78"/>
        <v>0</v>
      </c>
      <c r="BG140" s="304">
        <f t="shared" si="89"/>
        <v>0</v>
      </c>
      <c r="BH140" s="304">
        <f t="shared" si="90"/>
        <v>0</v>
      </c>
      <c r="BI140" s="304">
        <f t="shared" si="91"/>
        <v>0</v>
      </c>
    </row>
    <row r="141" spans="2:61" ht="105" x14ac:dyDescent="0.25">
      <c r="B141" s="67">
        <f t="shared" si="92"/>
        <v>0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89">
        <f>IF(B141=0,0,VLOOKUP(B141,'P phrases'!$B$2:$I$137,IF($R$2='P phrases'!$A$2,2,IF($R$2='P phrases'!$A$3,3,IF($R$2='P phrases'!$A$4,4,IF($R$2='P phrases'!$A$5,5,IF($R$2='P phrases'!$A$6,6,IF($R$2='P phrases'!$A$7,7,IF($R$2='P phrases'!$A$8,8,2))))))),FALSE))</f>
        <v>0</v>
      </c>
      <c r="M141" s="89">
        <f t="shared" si="93"/>
        <v>0</v>
      </c>
      <c r="N141" s="115"/>
      <c r="O141" s="115"/>
      <c r="P141" s="278">
        <f t="shared" si="94"/>
        <v>20</v>
      </c>
      <c r="Q141" s="68" t="s">
        <v>607</v>
      </c>
      <c r="R141" s="277">
        <v>20</v>
      </c>
      <c r="S141" s="304" t="s">
        <v>634</v>
      </c>
      <c r="U141" s="304">
        <v>68</v>
      </c>
      <c r="V141" s="306" t="s">
        <v>121</v>
      </c>
      <c r="W141" s="319" t="s">
        <v>458</v>
      </c>
      <c r="X141" s="304">
        <v>68</v>
      </c>
      <c r="AP141" s="304">
        <f t="shared" si="83"/>
        <v>0</v>
      </c>
      <c r="AQ141" s="304">
        <f t="shared" si="81"/>
        <v>0</v>
      </c>
      <c r="AR141" s="304">
        <f t="shared" si="84"/>
        <v>0</v>
      </c>
      <c r="AS141" s="304">
        <f t="shared" si="85"/>
        <v>0</v>
      </c>
      <c r="AU141" s="304" t="e">
        <f>VLOOKUP(AR141,'Priority rules'!$U$15:$V$32,2,FALSE)</f>
        <v>#N/A</v>
      </c>
      <c r="AV141" s="304" t="e">
        <f t="shared" si="73"/>
        <v>#N/A</v>
      </c>
      <c r="AW141" s="304" t="b">
        <f t="shared" si="74"/>
        <v>0</v>
      </c>
      <c r="AX141" s="304">
        <f t="shared" si="75"/>
        <v>0</v>
      </c>
      <c r="AY141" s="304">
        <f t="shared" si="86"/>
        <v>0</v>
      </c>
      <c r="AZ141" s="304">
        <f t="shared" si="87"/>
        <v>0</v>
      </c>
      <c r="BA141" s="304">
        <f t="shared" si="79"/>
        <v>0</v>
      </c>
      <c r="BB141" s="304">
        <f t="shared" si="80"/>
        <v>0</v>
      </c>
      <c r="BC141" s="304">
        <f t="shared" si="88"/>
        <v>0</v>
      </c>
      <c r="BD141" s="304">
        <f t="shared" si="76"/>
        <v>0</v>
      </c>
      <c r="BE141" s="304">
        <f t="shared" si="77"/>
        <v>0</v>
      </c>
      <c r="BF141" s="304">
        <f t="shared" si="78"/>
        <v>0</v>
      </c>
      <c r="BG141" s="304">
        <f t="shared" si="89"/>
        <v>0</v>
      </c>
      <c r="BH141" s="304">
        <f t="shared" si="90"/>
        <v>0</v>
      </c>
      <c r="BI141" s="304">
        <f t="shared" si="91"/>
        <v>0</v>
      </c>
    </row>
    <row r="142" spans="2:61" ht="90" x14ac:dyDescent="0.25">
      <c r="B142" s="67">
        <f t="shared" si="92"/>
        <v>0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89">
        <f>IF(B142=0,0,VLOOKUP(B142,'P phrases'!$B$2:$I$137,IF($R$2='P phrases'!$A$2,2,IF($R$2='P phrases'!$A$3,3,IF($R$2='P phrases'!$A$4,4,IF($R$2='P phrases'!$A$5,5,IF($R$2='P phrases'!$A$6,6,IF($R$2='P phrases'!$A$7,7,IF($R$2='P phrases'!$A$8,8,2))))))),FALSE))</f>
        <v>0</v>
      </c>
      <c r="M142" s="89">
        <f t="shared" si="93"/>
        <v>0</v>
      </c>
      <c r="N142" s="115"/>
      <c r="O142" s="115"/>
      <c r="P142" s="278">
        <f t="shared" si="94"/>
        <v>19</v>
      </c>
      <c r="Q142" s="68" t="s">
        <v>608</v>
      </c>
      <c r="R142" s="277">
        <v>19</v>
      </c>
      <c r="S142" s="304" t="s">
        <v>635</v>
      </c>
      <c r="U142" s="304">
        <v>67</v>
      </c>
      <c r="V142" s="306" t="s">
        <v>24</v>
      </c>
      <c r="W142" s="319" t="s">
        <v>459</v>
      </c>
      <c r="X142" s="304">
        <v>67</v>
      </c>
      <c r="AP142" s="304">
        <f t="shared" si="83"/>
        <v>0</v>
      </c>
      <c r="AQ142" s="304">
        <f t="shared" si="81"/>
        <v>0</v>
      </c>
      <c r="AR142" s="304">
        <f t="shared" si="84"/>
        <v>0</v>
      </c>
      <c r="AS142" s="304">
        <f t="shared" si="85"/>
        <v>0</v>
      </c>
      <c r="AU142" s="304" t="e">
        <f>VLOOKUP(AR142,'Priority rules'!$U$15:$V$32,2,FALSE)</f>
        <v>#N/A</v>
      </c>
      <c r="AV142" s="304" t="e">
        <f t="shared" si="73"/>
        <v>#N/A</v>
      </c>
      <c r="AW142" s="304" t="b">
        <f t="shared" si="74"/>
        <v>0</v>
      </c>
      <c r="AX142" s="304">
        <f t="shared" si="75"/>
        <v>0</v>
      </c>
      <c r="AY142" s="304">
        <f t="shared" si="86"/>
        <v>0</v>
      </c>
      <c r="AZ142" s="304">
        <f t="shared" si="87"/>
        <v>0</v>
      </c>
      <c r="BA142" s="304">
        <f t="shared" si="79"/>
        <v>0</v>
      </c>
      <c r="BB142" s="304">
        <f t="shared" si="80"/>
        <v>0</v>
      </c>
      <c r="BC142" s="304">
        <f t="shared" si="88"/>
        <v>0</v>
      </c>
      <c r="BD142" s="304">
        <f t="shared" si="76"/>
        <v>0</v>
      </c>
      <c r="BE142" s="304">
        <f t="shared" si="77"/>
        <v>0</v>
      </c>
      <c r="BF142" s="304">
        <f t="shared" si="78"/>
        <v>0</v>
      </c>
      <c r="BG142" s="304">
        <f t="shared" si="89"/>
        <v>0</v>
      </c>
      <c r="BH142" s="304">
        <f t="shared" si="90"/>
        <v>0</v>
      </c>
      <c r="BI142" s="304">
        <f t="shared" si="91"/>
        <v>0</v>
      </c>
    </row>
    <row r="143" spans="2:61" ht="105" x14ac:dyDescent="0.25">
      <c r="B143" s="67">
        <f t="shared" si="92"/>
        <v>0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89">
        <f>IF(B143=0,0,VLOOKUP(B143,'P phrases'!$B$2:$I$137,IF($R$2='P phrases'!$A$2,2,IF($R$2='P phrases'!$A$3,3,IF($R$2='P phrases'!$A$4,4,IF($R$2='P phrases'!$A$5,5,IF($R$2='P phrases'!$A$6,6,IF($R$2='P phrases'!$A$7,7,IF($R$2='P phrases'!$A$8,8,2))))))),FALSE))</f>
        <v>0</v>
      </c>
      <c r="M143" s="89">
        <f t="shared" si="93"/>
        <v>0</v>
      </c>
      <c r="N143" s="115"/>
      <c r="O143" s="115"/>
      <c r="P143" s="278">
        <f t="shared" si="94"/>
        <v>18</v>
      </c>
      <c r="Q143" s="68" t="s">
        <v>609</v>
      </c>
      <c r="R143" s="277">
        <v>18</v>
      </c>
      <c r="S143" s="304" t="s">
        <v>636</v>
      </c>
      <c r="U143" s="304">
        <v>66</v>
      </c>
      <c r="V143" s="306" t="s">
        <v>94</v>
      </c>
      <c r="W143" s="319" t="s">
        <v>460</v>
      </c>
      <c r="X143" s="304">
        <v>66</v>
      </c>
      <c r="AP143" s="304">
        <f t="shared" si="83"/>
        <v>0</v>
      </c>
      <c r="AQ143" s="304">
        <f t="shared" si="81"/>
        <v>0</v>
      </c>
      <c r="AR143" s="304">
        <f t="shared" si="84"/>
        <v>0</v>
      </c>
      <c r="AS143" s="304">
        <f t="shared" si="85"/>
        <v>0</v>
      </c>
      <c r="AU143" s="304" t="e">
        <f>VLOOKUP(AR143,'Priority rules'!$U$15:$V$32,2,FALSE)</f>
        <v>#N/A</v>
      </c>
      <c r="AV143" s="304" t="e">
        <f t="shared" si="73"/>
        <v>#N/A</v>
      </c>
      <c r="AW143" s="304" t="b">
        <f t="shared" si="74"/>
        <v>0</v>
      </c>
      <c r="AX143" s="304">
        <f t="shared" si="75"/>
        <v>0</v>
      </c>
      <c r="AY143" s="304">
        <f t="shared" si="86"/>
        <v>0</v>
      </c>
      <c r="AZ143" s="304">
        <f t="shared" si="87"/>
        <v>0</v>
      </c>
      <c r="BA143" s="304">
        <f t="shared" si="79"/>
        <v>0</v>
      </c>
      <c r="BB143" s="304">
        <f t="shared" si="80"/>
        <v>0</v>
      </c>
      <c r="BC143" s="304">
        <f t="shared" si="88"/>
        <v>0</v>
      </c>
      <c r="BD143" s="304">
        <f t="shared" si="76"/>
        <v>0</v>
      </c>
      <c r="BE143" s="304">
        <f t="shared" si="77"/>
        <v>0</v>
      </c>
      <c r="BF143" s="304">
        <f t="shared" si="78"/>
        <v>0</v>
      </c>
      <c r="BG143" s="304">
        <f t="shared" si="89"/>
        <v>0</v>
      </c>
      <c r="BH143" s="304">
        <f t="shared" si="90"/>
        <v>0</v>
      </c>
      <c r="BI143" s="304">
        <f t="shared" si="91"/>
        <v>0</v>
      </c>
    </row>
    <row r="144" spans="2:61" ht="75" x14ac:dyDescent="0.25">
      <c r="B144" s="67">
        <f t="shared" si="92"/>
        <v>0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89">
        <f>IF(B144=0,0,VLOOKUP(B144,'P phrases'!$B$2:$I$137,IF($R$2='P phrases'!$A$2,2,IF($R$2='P phrases'!$A$3,3,IF($R$2='P phrases'!$A$4,4,IF($R$2='P phrases'!$A$5,5,IF($R$2='P phrases'!$A$6,6,IF($R$2='P phrases'!$A$7,7,IF($R$2='P phrases'!$A$8,8,2))))))),FALSE))</f>
        <v>0</v>
      </c>
      <c r="M144" s="89">
        <f t="shared" si="93"/>
        <v>0</v>
      </c>
      <c r="N144" s="115"/>
      <c r="O144" s="115"/>
      <c r="P144" s="278">
        <f t="shared" si="94"/>
        <v>17</v>
      </c>
      <c r="Q144" s="68" t="s">
        <v>610</v>
      </c>
      <c r="R144" s="277">
        <v>17</v>
      </c>
      <c r="S144" s="304" t="s">
        <v>637</v>
      </c>
      <c r="U144" s="304">
        <v>65</v>
      </c>
      <c r="V144" s="306" t="s">
        <v>73</v>
      </c>
      <c r="W144" s="319" t="s">
        <v>461</v>
      </c>
      <c r="X144" s="304">
        <v>65</v>
      </c>
      <c r="AP144" s="304">
        <f t="shared" si="83"/>
        <v>0</v>
      </c>
      <c r="AQ144" s="304">
        <f t="shared" si="81"/>
        <v>0</v>
      </c>
      <c r="AR144" s="304">
        <f t="shared" si="84"/>
        <v>0</v>
      </c>
      <c r="AS144" s="304">
        <f t="shared" si="85"/>
        <v>0</v>
      </c>
      <c r="AU144" s="304" t="e">
        <f>VLOOKUP(AR144,'Priority rules'!$U$15:$V$32,2,FALSE)</f>
        <v>#N/A</v>
      </c>
      <c r="AV144" s="304" t="e">
        <f t="shared" si="73"/>
        <v>#N/A</v>
      </c>
      <c r="AW144" s="304" t="b">
        <f t="shared" si="74"/>
        <v>0</v>
      </c>
      <c r="AX144" s="304">
        <f t="shared" si="75"/>
        <v>0</v>
      </c>
      <c r="AY144" s="304">
        <f t="shared" si="86"/>
        <v>0</v>
      </c>
      <c r="AZ144" s="304">
        <f t="shared" si="87"/>
        <v>0</v>
      </c>
      <c r="BA144" s="304">
        <f t="shared" si="79"/>
        <v>0</v>
      </c>
      <c r="BB144" s="304">
        <f t="shared" si="80"/>
        <v>0</v>
      </c>
      <c r="BC144" s="304">
        <f t="shared" si="88"/>
        <v>0</v>
      </c>
      <c r="BD144" s="304">
        <f t="shared" si="76"/>
        <v>0</v>
      </c>
      <c r="BE144" s="304">
        <f t="shared" si="77"/>
        <v>0</v>
      </c>
      <c r="BF144" s="304">
        <f t="shared" si="78"/>
        <v>0</v>
      </c>
      <c r="BG144" s="304">
        <f t="shared" si="89"/>
        <v>0</v>
      </c>
      <c r="BH144" s="304">
        <f t="shared" si="90"/>
        <v>0</v>
      </c>
      <c r="BI144" s="304">
        <f t="shared" si="91"/>
        <v>0</v>
      </c>
    </row>
    <row r="145" spans="2:61" ht="75" x14ac:dyDescent="0.25">
      <c r="B145" s="67">
        <f t="shared" si="92"/>
        <v>0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89">
        <f>IF(B145=0,0,VLOOKUP(B145,'P phrases'!$B$2:$I$137,IF($R$2='P phrases'!$A$2,2,IF($R$2='P phrases'!$A$3,3,IF($R$2='P phrases'!$A$4,4,IF($R$2='P phrases'!$A$5,5,IF($R$2='P phrases'!$A$6,6,IF($R$2='P phrases'!$A$7,7,IF($R$2='P phrases'!$A$8,8,2))))))),FALSE))</f>
        <v>0</v>
      </c>
      <c r="M145" s="89">
        <f t="shared" si="93"/>
        <v>0</v>
      </c>
      <c r="N145" s="115"/>
      <c r="O145" s="115"/>
      <c r="P145" s="278">
        <f t="shared" si="94"/>
        <v>16</v>
      </c>
      <c r="Q145" s="68" t="s">
        <v>611</v>
      </c>
      <c r="R145" s="277">
        <v>16</v>
      </c>
      <c r="S145" s="304" t="s">
        <v>638</v>
      </c>
      <c r="U145" s="304">
        <v>64</v>
      </c>
      <c r="V145" s="306" t="s">
        <v>83</v>
      </c>
      <c r="W145" s="319" t="s">
        <v>462</v>
      </c>
      <c r="X145" s="304">
        <v>64</v>
      </c>
      <c r="AP145" s="304">
        <f t="shared" si="83"/>
        <v>0</v>
      </c>
      <c r="AQ145" s="304">
        <f t="shared" si="81"/>
        <v>0</v>
      </c>
      <c r="AR145" s="304">
        <f t="shared" si="84"/>
        <v>0</v>
      </c>
      <c r="AS145" s="304">
        <f t="shared" si="85"/>
        <v>0</v>
      </c>
      <c r="AU145" s="304" t="e">
        <f>VLOOKUP(AR145,'Priority rules'!$U$15:$V$32,2,FALSE)</f>
        <v>#N/A</v>
      </c>
      <c r="AV145" s="304" t="e">
        <f t="shared" si="73"/>
        <v>#N/A</v>
      </c>
      <c r="AW145" s="304" t="b">
        <f t="shared" si="74"/>
        <v>0</v>
      </c>
      <c r="AX145" s="304">
        <f t="shared" si="75"/>
        <v>0</v>
      </c>
      <c r="AY145" s="304">
        <f t="shared" si="86"/>
        <v>0</v>
      </c>
      <c r="AZ145" s="304">
        <f t="shared" si="87"/>
        <v>0</v>
      </c>
      <c r="BA145" s="304">
        <f t="shared" si="79"/>
        <v>0</v>
      </c>
      <c r="BB145" s="304">
        <f t="shared" si="80"/>
        <v>0</v>
      </c>
      <c r="BC145" s="304">
        <f t="shared" si="88"/>
        <v>0</v>
      </c>
      <c r="BD145" s="304">
        <f t="shared" si="76"/>
        <v>0</v>
      </c>
      <c r="BE145" s="304">
        <f t="shared" si="77"/>
        <v>0</v>
      </c>
      <c r="BF145" s="304">
        <f t="shared" si="78"/>
        <v>0</v>
      </c>
      <c r="BG145" s="304">
        <f t="shared" si="89"/>
        <v>0</v>
      </c>
      <c r="BH145" s="304">
        <f t="shared" si="90"/>
        <v>0</v>
      </c>
      <c r="BI145" s="304">
        <f t="shared" si="91"/>
        <v>0</v>
      </c>
    </row>
    <row r="146" spans="2:61" ht="30" x14ac:dyDescent="0.25">
      <c r="B146" s="67">
        <f>IF(BB159=0,0,VLOOKUP(BB159,$U$73:$V$208,2,FALSE))</f>
        <v>0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89">
        <f>IF(B146=0,0,VLOOKUP(B146,'P phrases'!$B$2:$I$137,IF($R$2='P phrases'!$A$2,2,IF($R$2='P phrases'!$A$3,3,IF($R$2='P phrases'!$A$4,4,IF($R$2='P phrases'!$A$5,5,IF($R$2='P phrases'!$A$6,6,IF($R$2='P phrases'!$A$7,7,IF($R$2='P phrases'!$A$8,8,2))))))),FALSE))</f>
        <v>0</v>
      </c>
      <c r="M146" s="89">
        <f>IF(BC159=0,0,IF(BC159=1, $S$29,IF(BC159=2,$AA$29,IF(BC159=3,$AI$29,0))))</f>
        <v>0</v>
      </c>
      <c r="N146" s="115"/>
      <c r="O146" s="115"/>
      <c r="P146" s="278">
        <f t="shared" si="94"/>
        <v>15</v>
      </c>
      <c r="Q146" s="68" t="s">
        <v>612</v>
      </c>
      <c r="R146" s="277">
        <v>15</v>
      </c>
      <c r="S146" s="304" t="s">
        <v>639</v>
      </c>
      <c r="U146" s="304">
        <v>63</v>
      </c>
      <c r="V146" s="306" t="s">
        <v>74</v>
      </c>
      <c r="W146" s="319" t="s">
        <v>463</v>
      </c>
      <c r="X146" s="304">
        <v>63</v>
      </c>
      <c r="AP146" s="304">
        <f t="shared" si="83"/>
        <v>0</v>
      </c>
      <c r="AQ146" s="304">
        <f t="shared" si="81"/>
        <v>0</v>
      </c>
      <c r="AR146" s="304">
        <f t="shared" si="84"/>
        <v>0</v>
      </c>
      <c r="AS146" s="304">
        <f t="shared" si="85"/>
        <v>0</v>
      </c>
      <c r="AU146" s="304" t="e">
        <f>VLOOKUP(AR146,'Priority rules'!$U$15:$V$32,2,FALSE)</f>
        <v>#N/A</v>
      </c>
      <c r="AV146" s="304" t="e">
        <f t="shared" si="73"/>
        <v>#N/A</v>
      </c>
      <c r="AW146" s="304" t="b">
        <f t="shared" si="74"/>
        <v>0</v>
      </c>
      <c r="AX146" s="304">
        <f t="shared" si="75"/>
        <v>0</v>
      </c>
      <c r="AY146" s="304">
        <f t="shared" si="86"/>
        <v>0</v>
      </c>
      <c r="AZ146" s="304">
        <f t="shared" si="87"/>
        <v>0</v>
      </c>
      <c r="BA146" s="304">
        <f t="shared" si="79"/>
        <v>0</v>
      </c>
      <c r="BB146" s="304">
        <f t="shared" si="80"/>
        <v>0</v>
      </c>
      <c r="BC146" s="304">
        <f t="shared" si="88"/>
        <v>0</v>
      </c>
      <c r="BD146" s="304">
        <f t="shared" si="76"/>
        <v>0</v>
      </c>
      <c r="BE146" s="304">
        <f t="shared" si="77"/>
        <v>0</v>
      </c>
      <c r="BF146" s="304">
        <f t="shared" si="78"/>
        <v>0</v>
      </c>
      <c r="BG146" s="304">
        <f t="shared" si="89"/>
        <v>0</v>
      </c>
      <c r="BH146" s="304">
        <f t="shared" si="90"/>
        <v>0</v>
      </c>
      <c r="BI146" s="304">
        <f t="shared" si="91"/>
        <v>0</v>
      </c>
    </row>
    <row r="147" spans="2:61" ht="60" x14ac:dyDescent="0.25">
      <c r="B147" s="67">
        <f>IF(BB160=0,0,VLOOKUP(BB160,$U$73:$V$208,2,FALSE))</f>
        <v>0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89">
        <f>IF(B147=0,0,VLOOKUP(B147,'P phrases'!$B$2:$I$137,IF($R$2='P phrases'!$A$2,2,IF($R$2='P phrases'!$A$3,3,IF($R$2='P phrases'!$A$4,4,IF($R$2='P phrases'!$A$5,5,IF($R$2='P phrases'!$A$6,6,IF($R$2='P phrases'!$A$7,7,IF($R$2='P phrases'!$A$8,8,2))))))),FALSE))</f>
        <v>0</v>
      </c>
      <c r="M147" s="89">
        <f>IF(BC160=0,0,IF(BC160=1, $S$29,IF(BC160=2,$AA$29,IF(BC160=3,$AI$29,0))))</f>
        <v>0</v>
      </c>
      <c r="N147" s="115"/>
      <c r="O147" s="115"/>
      <c r="P147" s="278">
        <f t="shared" si="94"/>
        <v>14</v>
      </c>
      <c r="Q147" s="68" t="s">
        <v>613</v>
      </c>
      <c r="R147" s="277">
        <v>14</v>
      </c>
      <c r="S147" s="304" t="s">
        <v>640</v>
      </c>
      <c r="U147" s="304">
        <v>62</v>
      </c>
      <c r="V147" s="306" t="s">
        <v>124</v>
      </c>
      <c r="W147" s="319" t="s">
        <v>464</v>
      </c>
      <c r="X147" s="304">
        <v>62</v>
      </c>
      <c r="AP147" s="304">
        <f t="shared" si="83"/>
        <v>0</v>
      </c>
      <c r="AQ147" s="304">
        <f t="shared" si="81"/>
        <v>0</v>
      </c>
      <c r="AR147" s="304">
        <f t="shared" si="84"/>
        <v>0</v>
      </c>
      <c r="AS147" s="304">
        <f t="shared" si="85"/>
        <v>0</v>
      </c>
      <c r="AU147" s="304" t="e">
        <f>VLOOKUP(AR147,'Priority rules'!$U$15:$V$32,2,FALSE)</f>
        <v>#N/A</v>
      </c>
      <c r="AV147" s="304" t="e">
        <f t="shared" si="73"/>
        <v>#N/A</v>
      </c>
      <c r="AW147" s="304" t="b">
        <f t="shared" si="74"/>
        <v>0</v>
      </c>
      <c r="AX147" s="304">
        <f t="shared" si="75"/>
        <v>0</v>
      </c>
      <c r="AY147" s="304">
        <f t="shared" si="86"/>
        <v>0</v>
      </c>
      <c r="AZ147" s="304">
        <f t="shared" si="87"/>
        <v>0</v>
      </c>
      <c r="BA147" s="304">
        <f t="shared" si="79"/>
        <v>0</v>
      </c>
      <c r="BB147" s="304">
        <f t="shared" si="80"/>
        <v>0</v>
      </c>
      <c r="BC147" s="304">
        <f t="shared" si="88"/>
        <v>0</v>
      </c>
      <c r="BD147" s="304">
        <f t="shared" si="76"/>
        <v>0</v>
      </c>
      <c r="BE147" s="304">
        <f t="shared" si="77"/>
        <v>0</v>
      </c>
      <c r="BF147" s="304">
        <f t="shared" si="78"/>
        <v>0</v>
      </c>
      <c r="BG147" s="304">
        <f t="shared" si="89"/>
        <v>0</v>
      </c>
      <c r="BH147" s="304">
        <f t="shared" si="90"/>
        <v>0</v>
      </c>
      <c r="BI147" s="304">
        <f t="shared" si="91"/>
        <v>0</v>
      </c>
    </row>
    <row r="148" spans="2:61" ht="45" x14ac:dyDescent="0.25">
      <c r="B148" s="67">
        <f>IF(BB161=0,0,VLOOKUP(BB161,$U$73:$V$208,2,FALSE))</f>
        <v>0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89">
        <f>IF(B148=0,0,VLOOKUP(B148,'P phrases'!$B$2:$I$137,IF($R$2='P phrases'!$A$2,2,IF($R$2='P phrases'!$A$3,3,IF($R$2='P phrases'!$A$4,4,IF($R$2='P phrases'!$A$5,5,IF($R$2='P phrases'!$A$6,6,IF($R$2='P phrases'!$A$7,7,IF($R$2='P phrases'!$A$8,8,2))))))),FALSE))</f>
        <v>0</v>
      </c>
      <c r="M148" s="89">
        <f>IF(BC161=0,0,IF(BC161=1, $S$29,IF(BC161=2,$AA$29,IF(BC161=3,$AI$29,0))))</f>
        <v>0</v>
      </c>
      <c r="N148" s="115"/>
      <c r="O148" s="115"/>
      <c r="P148" s="278">
        <f t="shared" si="94"/>
        <v>13</v>
      </c>
      <c r="Q148" s="68" t="s">
        <v>614</v>
      </c>
      <c r="R148" s="277">
        <v>13</v>
      </c>
      <c r="S148" s="304" t="s">
        <v>641</v>
      </c>
      <c r="U148" s="304">
        <v>61</v>
      </c>
      <c r="V148" s="306" t="s">
        <v>465</v>
      </c>
      <c r="W148" s="319" t="s">
        <v>466</v>
      </c>
      <c r="X148" s="304">
        <v>61</v>
      </c>
      <c r="AP148" s="304">
        <f t="shared" si="83"/>
        <v>0</v>
      </c>
      <c r="AQ148" s="304">
        <f t="shared" si="81"/>
        <v>0</v>
      </c>
      <c r="AR148" s="304">
        <f t="shared" si="84"/>
        <v>0</v>
      </c>
      <c r="AS148" s="304">
        <f t="shared" si="85"/>
        <v>0</v>
      </c>
      <c r="AU148" s="304" t="e">
        <f>VLOOKUP(AR148,'Priority rules'!$U$15:$V$32,2,FALSE)</f>
        <v>#N/A</v>
      </c>
      <c r="AV148" s="304" t="e">
        <f t="shared" si="73"/>
        <v>#N/A</v>
      </c>
      <c r="AW148" s="304" t="b">
        <f t="shared" si="74"/>
        <v>0</v>
      </c>
      <c r="AX148" s="304">
        <f t="shared" si="75"/>
        <v>0</v>
      </c>
      <c r="AY148" s="304">
        <f t="shared" si="86"/>
        <v>0</v>
      </c>
      <c r="AZ148" s="304">
        <f t="shared" si="87"/>
        <v>0</v>
      </c>
      <c r="BA148" s="304">
        <f t="shared" si="79"/>
        <v>0</v>
      </c>
      <c r="BB148" s="304">
        <f t="shared" si="80"/>
        <v>0</v>
      </c>
      <c r="BC148" s="304">
        <f t="shared" si="88"/>
        <v>0</v>
      </c>
      <c r="BD148" s="304">
        <f t="shared" si="76"/>
        <v>0</v>
      </c>
      <c r="BE148" s="304">
        <f t="shared" si="77"/>
        <v>0</v>
      </c>
      <c r="BF148" s="304">
        <f t="shared" si="78"/>
        <v>0</v>
      </c>
      <c r="BG148" s="304">
        <f t="shared" si="89"/>
        <v>0</v>
      </c>
      <c r="BH148" s="304">
        <f t="shared" si="90"/>
        <v>0</v>
      </c>
      <c r="BI148" s="304">
        <f t="shared" si="91"/>
        <v>0</v>
      </c>
    </row>
    <row r="149" spans="2:61" ht="105" x14ac:dyDescent="0.25">
      <c r="B149" s="67">
        <f>IF(BB162=0,0,VLOOKUP(BB162,$U$73:$V$208,2,FALSE))</f>
        <v>0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89">
        <f>IF(B149=0,0,VLOOKUP(B149,'P phrases'!$B$2:$I$137,IF($R$2='P phrases'!$A$2,2,IF($R$2='P phrases'!$A$3,3,IF($R$2='P phrases'!$A$4,4,IF($R$2='P phrases'!$A$5,5,IF($R$2='P phrases'!$A$6,6,IF($R$2='P phrases'!$A$7,7,IF($R$2='P phrases'!$A$8,8,2))))))),FALSE))</f>
        <v>0</v>
      </c>
      <c r="M149" s="89">
        <f>IF(BC162=0,0,IF(BC162=1, $S$29,IF(BC162=2,$AA$29,IF(BC162=3,$AI$29,0))))</f>
        <v>0</v>
      </c>
      <c r="N149" s="115"/>
      <c r="O149" s="115"/>
      <c r="P149" s="278">
        <f t="shared" si="94"/>
        <v>12</v>
      </c>
      <c r="Q149" s="68" t="s">
        <v>615</v>
      </c>
      <c r="R149" s="277">
        <v>12</v>
      </c>
      <c r="S149" s="304" t="s">
        <v>642</v>
      </c>
      <c r="U149" s="304">
        <v>60</v>
      </c>
      <c r="V149" s="306" t="s">
        <v>467</v>
      </c>
      <c r="W149" s="319" t="s">
        <v>468</v>
      </c>
      <c r="X149" s="304">
        <v>60</v>
      </c>
      <c r="AP149" s="304">
        <f t="shared" si="83"/>
        <v>0</v>
      </c>
      <c r="AQ149" s="304">
        <f t="shared" si="81"/>
        <v>0</v>
      </c>
      <c r="AR149" s="304">
        <f t="shared" si="84"/>
        <v>0</v>
      </c>
      <c r="AS149" s="304">
        <f t="shared" si="85"/>
        <v>0</v>
      </c>
      <c r="AU149" s="304" t="e">
        <f>VLOOKUP(AR149,'Priority rules'!$U$15:$V$32,2,FALSE)</f>
        <v>#N/A</v>
      </c>
      <c r="AV149" s="304" t="e">
        <f t="shared" si="73"/>
        <v>#N/A</v>
      </c>
      <c r="AW149" s="304" t="b">
        <f t="shared" si="74"/>
        <v>0</v>
      </c>
      <c r="AX149" s="304">
        <f t="shared" si="75"/>
        <v>0</v>
      </c>
      <c r="AY149" s="304">
        <f t="shared" si="86"/>
        <v>0</v>
      </c>
      <c r="AZ149" s="304">
        <f t="shared" si="87"/>
        <v>0</v>
      </c>
      <c r="BA149" s="304">
        <f t="shared" si="79"/>
        <v>0</v>
      </c>
      <c r="BB149" s="304">
        <f t="shared" si="80"/>
        <v>0</v>
      </c>
      <c r="BC149" s="304">
        <f t="shared" si="88"/>
        <v>0</v>
      </c>
      <c r="BD149" s="304">
        <f t="shared" si="76"/>
        <v>0</v>
      </c>
      <c r="BE149" s="304">
        <f t="shared" si="77"/>
        <v>0</v>
      </c>
      <c r="BF149" s="304">
        <f t="shared" si="78"/>
        <v>0</v>
      </c>
      <c r="BG149" s="304">
        <f t="shared" si="89"/>
        <v>0</v>
      </c>
      <c r="BH149" s="304">
        <f t="shared" si="90"/>
        <v>0</v>
      </c>
      <c r="BI149" s="304">
        <f t="shared" si="91"/>
        <v>0</v>
      </c>
    </row>
    <row r="150" spans="2:61" ht="60" x14ac:dyDescent="0.2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78">
        <f t="shared" si="94"/>
        <v>11</v>
      </c>
      <c r="Q150" s="68" t="s">
        <v>616</v>
      </c>
      <c r="R150" s="277">
        <v>11</v>
      </c>
      <c r="S150" s="304" t="s">
        <v>643</v>
      </c>
      <c r="U150" s="304">
        <v>59</v>
      </c>
      <c r="V150" s="306" t="s">
        <v>469</v>
      </c>
      <c r="W150" s="319" t="s">
        <v>470</v>
      </c>
      <c r="X150" s="304">
        <v>59</v>
      </c>
      <c r="AP150" s="304">
        <f t="shared" si="83"/>
        <v>0</v>
      </c>
      <c r="AQ150" s="304">
        <f t="shared" si="81"/>
        <v>0</v>
      </c>
      <c r="AR150" s="304">
        <f t="shared" si="84"/>
        <v>0</v>
      </c>
      <c r="AS150" s="304">
        <f t="shared" si="85"/>
        <v>0</v>
      </c>
      <c r="AU150" s="304" t="e">
        <f>VLOOKUP(AR150,'Priority rules'!$U$15:$V$32,2,FALSE)</f>
        <v>#N/A</v>
      </c>
      <c r="AV150" s="304" t="e">
        <f t="shared" si="73"/>
        <v>#N/A</v>
      </c>
      <c r="AW150" s="304" t="b">
        <f t="shared" si="74"/>
        <v>0</v>
      </c>
      <c r="AX150" s="304">
        <f t="shared" si="75"/>
        <v>0</v>
      </c>
      <c r="AY150" s="304">
        <f t="shared" si="86"/>
        <v>0</v>
      </c>
      <c r="AZ150" s="304">
        <f t="shared" si="87"/>
        <v>0</v>
      </c>
      <c r="BA150" s="304">
        <f t="shared" si="79"/>
        <v>0</v>
      </c>
      <c r="BB150" s="304">
        <f t="shared" si="80"/>
        <v>0</v>
      </c>
      <c r="BC150" s="304">
        <f t="shared" si="88"/>
        <v>0</v>
      </c>
      <c r="BD150" s="304">
        <f t="shared" si="76"/>
        <v>0</v>
      </c>
      <c r="BE150" s="304">
        <f t="shared" si="77"/>
        <v>0</v>
      </c>
      <c r="BF150" s="304">
        <f t="shared" si="78"/>
        <v>0</v>
      </c>
      <c r="BG150" s="304">
        <f t="shared" si="89"/>
        <v>0</v>
      </c>
      <c r="BH150" s="304">
        <f t="shared" si="90"/>
        <v>0</v>
      </c>
      <c r="BI150" s="304">
        <f t="shared" si="91"/>
        <v>0</v>
      </c>
    </row>
    <row r="151" spans="2:61" ht="120" x14ac:dyDescent="0.2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78">
        <f t="shared" si="94"/>
        <v>10</v>
      </c>
      <c r="Q151" s="68" t="s">
        <v>617</v>
      </c>
      <c r="R151" s="277">
        <v>10</v>
      </c>
      <c r="S151" s="304" t="s">
        <v>644</v>
      </c>
      <c r="U151" s="304">
        <v>58</v>
      </c>
      <c r="V151" s="306" t="s">
        <v>110</v>
      </c>
      <c r="W151" s="319" t="s">
        <v>471</v>
      </c>
      <c r="X151" s="304">
        <v>58</v>
      </c>
      <c r="AP151" s="304">
        <f t="shared" si="83"/>
        <v>0</v>
      </c>
      <c r="AQ151" s="304">
        <f t="shared" si="81"/>
        <v>0</v>
      </c>
      <c r="AR151" s="304">
        <f t="shared" si="84"/>
        <v>0</v>
      </c>
      <c r="AS151" s="304">
        <f t="shared" si="85"/>
        <v>0</v>
      </c>
      <c r="AU151" s="304" t="e">
        <f>VLOOKUP(AR151,'Priority rules'!$U$15:$V$32,2,FALSE)</f>
        <v>#N/A</v>
      </c>
      <c r="AV151" s="304" t="e">
        <f t="shared" si="73"/>
        <v>#N/A</v>
      </c>
      <c r="AW151" s="304" t="b">
        <f t="shared" si="74"/>
        <v>0</v>
      </c>
      <c r="AX151" s="304">
        <f t="shared" si="75"/>
        <v>0</v>
      </c>
      <c r="AY151" s="304">
        <f t="shared" si="86"/>
        <v>0</v>
      </c>
      <c r="AZ151" s="304">
        <f t="shared" si="87"/>
        <v>0</v>
      </c>
      <c r="BA151" s="304">
        <f t="shared" si="79"/>
        <v>0</v>
      </c>
      <c r="BB151" s="304">
        <f t="shared" si="80"/>
        <v>0</v>
      </c>
      <c r="BC151" s="304">
        <f t="shared" si="88"/>
        <v>0</v>
      </c>
      <c r="BD151" s="304">
        <f t="shared" si="76"/>
        <v>0</v>
      </c>
      <c r="BE151" s="304">
        <f t="shared" si="77"/>
        <v>0</v>
      </c>
      <c r="BF151" s="304">
        <f t="shared" si="78"/>
        <v>0</v>
      </c>
      <c r="BG151" s="304">
        <f t="shared" si="89"/>
        <v>0</v>
      </c>
      <c r="BH151" s="304">
        <f t="shared" si="90"/>
        <v>0</v>
      </c>
      <c r="BI151" s="304">
        <f t="shared" si="91"/>
        <v>0</v>
      </c>
    </row>
    <row r="152" spans="2:61" ht="105" x14ac:dyDescent="0.2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78">
        <f t="shared" si="94"/>
        <v>9</v>
      </c>
      <c r="Q152" s="68" t="s">
        <v>618</v>
      </c>
      <c r="R152" s="277">
        <v>9</v>
      </c>
      <c r="S152" s="304" t="s">
        <v>2338</v>
      </c>
      <c r="U152" s="304">
        <v>57</v>
      </c>
      <c r="V152" s="306" t="s">
        <v>472</v>
      </c>
      <c r="W152" s="319" t="s">
        <v>473</v>
      </c>
      <c r="X152" s="304">
        <v>57</v>
      </c>
      <c r="AP152" s="304">
        <f t="shared" si="83"/>
        <v>0</v>
      </c>
      <c r="AQ152" s="304">
        <f t="shared" si="81"/>
        <v>0</v>
      </c>
      <c r="AR152" s="304">
        <f t="shared" si="84"/>
        <v>0</v>
      </c>
      <c r="AS152" s="304">
        <f t="shared" si="85"/>
        <v>0</v>
      </c>
      <c r="AU152" s="304" t="e">
        <f>VLOOKUP(AR152,'Priority rules'!$U$15:$V$32,2,FALSE)</f>
        <v>#N/A</v>
      </c>
      <c r="AV152" s="304" t="e">
        <f t="shared" si="73"/>
        <v>#N/A</v>
      </c>
      <c r="AW152" s="304" t="b">
        <f t="shared" si="74"/>
        <v>0</v>
      </c>
      <c r="AX152" s="304">
        <f t="shared" si="75"/>
        <v>0</v>
      </c>
      <c r="AY152" s="304">
        <f t="shared" si="86"/>
        <v>0</v>
      </c>
      <c r="AZ152" s="304">
        <f t="shared" si="87"/>
        <v>0</v>
      </c>
      <c r="BA152" s="304">
        <f t="shared" si="79"/>
        <v>0</v>
      </c>
      <c r="BB152" s="304">
        <f t="shared" si="80"/>
        <v>0</v>
      </c>
      <c r="BC152" s="304">
        <f t="shared" si="88"/>
        <v>0</v>
      </c>
      <c r="BD152" s="304">
        <f t="shared" si="76"/>
        <v>0</v>
      </c>
      <c r="BE152" s="304">
        <f t="shared" si="77"/>
        <v>0</v>
      </c>
      <c r="BF152" s="304">
        <f t="shared" si="78"/>
        <v>0</v>
      </c>
      <c r="BG152" s="304">
        <f t="shared" si="89"/>
        <v>0</v>
      </c>
      <c r="BH152" s="304">
        <f t="shared" si="90"/>
        <v>0</v>
      </c>
      <c r="BI152" s="304">
        <f t="shared" si="91"/>
        <v>0</v>
      </c>
    </row>
    <row r="153" spans="2:61" ht="75" x14ac:dyDescent="0.2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78">
        <f t="shared" si="94"/>
        <v>8</v>
      </c>
      <c r="Q153" s="68" t="s">
        <v>619</v>
      </c>
      <c r="R153" s="277">
        <v>8</v>
      </c>
      <c r="S153" s="304" t="s">
        <v>2339</v>
      </c>
      <c r="U153" s="304">
        <v>56</v>
      </c>
      <c r="V153" s="306" t="s">
        <v>474</v>
      </c>
      <c r="W153" s="319" t="s">
        <v>475</v>
      </c>
      <c r="X153" s="304">
        <v>56</v>
      </c>
      <c r="AP153" s="304">
        <f t="shared" si="83"/>
        <v>0</v>
      </c>
      <c r="AQ153" s="304">
        <f t="shared" si="81"/>
        <v>0</v>
      </c>
      <c r="AR153" s="304">
        <f t="shared" si="84"/>
        <v>0</v>
      </c>
      <c r="AS153" s="304">
        <f t="shared" si="85"/>
        <v>0</v>
      </c>
      <c r="AU153" s="304" t="e">
        <f>VLOOKUP(AR153,'Priority rules'!$U$15:$V$32,2,FALSE)</f>
        <v>#N/A</v>
      </c>
      <c r="AV153" s="304" t="e">
        <f t="shared" si="73"/>
        <v>#N/A</v>
      </c>
      <c r="AW153" s="304" t="b">
        <f t="shared" si="74"/>
        <v>0</v>
      </c>
      <c r="AX153" s="304">
        <f t="shared" si="75"/>
        <v>0</v>
      </c>
      <c r="AY153" s="304">
        <f t="shared" si="86"/>
        <v>0</v>
      </c>
      <c r="AZ153" s="304">
        <f t="shared" si="87"/>
        <v>0</v>
      </c>
      <c r="BA153" s="304">
        <f t="shared" si="79"/>
        <v>0</v>
      </c>
      <c r="BB153" s="304">
        <f t="shared" si="80"/>
        <v>0</v>
      </c>
      <c r="BC153" s="304">
        <f t="shared" si="88"/>
        <v>0</v>
      </c>
      <c r="BD153" s="304">
        <f t="shared" si="76"/>
        <v>0</v>
      </c>
      <c r="BE153" s="304">
        <f t="shared" si="77"/>
        <v>0</v>
      </c>
      <c r="BF153" s="304">
        <f t="shared" si="78"/>
        <v>0</v>
      </c>
      <c r="BG153" s="304">
        <f t="shared" si="89"/>
        <v>0</v>
      </c>
      <c r="BH153" s="304">
        <f t="shared" si="90"/>
        <v>0</v>
      </c>
      <c r="BI153" s="304">
        <f t="shared" si="91"/>
        <v>0</v>
      </c>
    </row>
    <row r="154" spans="2:61" ht="180" x14ac:dyDescent="0.2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78">
        <f t="shared" si="94"/>
        <v>7</v>
      </c>
      <c r="Q154" s="68" t="s">
        <v>620</v>
      </c>
      <c r="R154" s="277">
        <v>7</v>
      </c>
      <c r="S154" s="304" t="s">
        <v>645</v>
      </c>
      <c r="U154" s="304">
        <v>55</v>
      </c>
      <c r="V154" s="306" t="s">
        <v>47</v>
      </c>
      <c r="W154" s="319" t="s">
        <v>476</v>
      </c>
      <c r="X154" s="304">
        <v>55</v>
      </c>
      <c r="AP154" s="304">
        <f t="shared" si="83"/>
        <v>0</v>
      </c>
      <c r="AQ154" s="304">
        <f t="shared" si="81"/>
        <v>0</v>
      </c>
      <c r="AR154" s="304">
        <f t="shared" si="84"/>
        <v>0</v>
      </c>
      <c r="AS154" s="304">
        <f t="shared" si="85"/>
        <v>0</v>
      </c>
      <c r="AU154" s="304" t="e">
        <f>VLOOKUP(AR154,'Priority rules'!$U$15:$V$32,2,FALSE)</f>
        <v>#N/A</v>
      </c>
      <c r="AV154" s="304" t="e">
        <f t="shared" si="73"/>
        <v>#N/A</v>
      </c>
      <c r="AW154" s="304" t="b">
        <f t="shared" si="74"/>
        <v>0</v>
      </c>
      <c r="AX154" s="304">
        <f t="shared" si="75"/>
        <v>0</v>
      </c>
      <c r="AY154" s="304">
        <f t="shared" si="86"/>
        <v>0</v>
      </c>
      <c r="AZ154" s="304">
        <f t="shared" si="87"/>
        <v>0</v>
      </c>
      <c r="BA154" s="304">
        <f t="shared" si="79"/>
        <v>0</v>
      </c>
      <c r="BB154" s="304">
        <f t="shared" si="80"/>
        <v>0</v>
      </c>
      <c r="BC154" s="304">
        <f t="shared" si="88"/>
        <v>0</v>
      </c>
      <c r="BD154" s="304">
        <f t="shared" si="76"/>
        <v>0</v>
      </c>
      <c r="BE154" s="304">
        <f t="shared" si="77"/>
        <v>0</v>
      </c>
      <c r="BF154" s="304">
        <f t="shared" si="78"/>
        <v>0</v>
      </c>
      <c r="BG154" s="304">
        <f t="shared" si="89"/>
        <v>0</v>
      </c>
      <c r="BH154" s="304">
        <f t="shared" si="90"/>
        <v>0</v>
      </c>
      <c r="BI154" s="304">
        <f t="shared" si="91"/>
        <v>0</v>
      </c>
    </row>
    <row r="155" spans="2:61" ht="150" x14ac:dyDescent="0.2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78">
        <f t="shared" si="94"/>
        <v>6</v>
      </c>
      <c r="Q155" s="68" t="s">
        <v>621</v>
      </c>
      <c r="R155" s="277">
        <v>6</v>
      </c>
      <c r="S155" s="304" t="s">
        <v>646</v>
      </c>
      <c r="U155" s="304">
        <v>54</v>
      </c>
      <c r="V155" s="306" t="s">
        <v>23</v>
      </c>
      <c r="W155" s="319" t="s">
        <v>477</v>
      </c>
      <c r="X155" s="304">
        <v>54</v>
      </c>
      <c r="AP155" s="304">
        <f t="shared" si="83"/>
        <v>0</v>
      </c>
      <c r="AQ155" s="304">
        <f t="shared" si="81"/>
        <v>0</v>
      </c>
      <c r="AR155" s="304">
        <f t="shared" si="84"/>
        <v>0</v>
      </c>
      <c r="AS155" s="304">
        <f t="shared" si="85"/>
        <v>0</v>
      </c>
      <c r="AU155" s="304" t="e">
        <f>VLOOKUP(AR155,'Priority rules'!$U$15:$V$32,2,FALSE)</f>
        <v>#N/A</v>
      </c>
      <c r="AV155" s="304" t="e">
        <f t="shared" si="73"/>
        <v>#N/A</v>
      </c>
      <c r="AW155" s="304" t="b">
        <f t="shared" si="74"/>
        <v>0</v>
      </c>
      <c r="AX155" s="304">
        <f t="shared" si="75"/>
        <v>0</v>
      </c>
      <c r="AY155" s="304">
        <f t="shared" si="86"/>
        <v>0</v>
      </c>
      <c r="AZ155" s="304">
        <f t="shared" si="87"/>
        <v>0</v>
      </c>
      <c r="BA155" s="304">
        <f t="shared" si="79"/>
        <v>0</v>
      </c>
      <c r="BB155" s="304">
        <f t="shared" si="80"/>
        <v>0</v>
      </c>
      <c r="BC155" s="304">
        <f t="shared" si="88"/>
        <v>0</v>
      </c>
      <c r="BD155" s="304">
        <f t="shared" si="76"/>
        <v>0</v>
      </c>
      <c r="BE155" s="304">
        <f t="shared" si="77"/>
        <v>0</v>
      </c>
      <c r="BF155" s="304">
        <f t="shared" si="78"/>
        <v>0</v>
      </c>
      <c r="BG155" s="304">
        <f t="shared" si="89"/>
        <v>0</v>
      </c>
      <c r="BH155" s="304">
        <f t="shared" si="90"/>
        <v>0</v>
      </c>
      <c r="BI155" s="304">
        <f t="shared" si="91"/>
        <v>0</v>
      </c>
    </row>
    <row r="156" spans="2:61" ht="45" x14ac:dyDescent="0.2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78">
        <f t="shared" si="94"/>
        <v>5</v>
      </c>
      <c r="Q156" s="68" t="s">
        <v>622</v>
      </c>
      <c r="R156" s="277">
        <v>5</v>
      </c>
      <c r="S156" s="304" t="s">
        <v>647</v>
      </c>
      <c r="U156" s="304">
        <v>53</v>
      </c>
      <c r="V156" s="306" t="s">
        <v>478</v>
      </c>
      <c r="W156" s="319" t="s">
        <v>479</v>
      </c>
      <c r="X156" s="304">
        <v>53</v>
      </c>
      <c r="BD156" s="304">
        <f>COUNTIF(BD30:BD155,"&lt;&gt;0")</f>
        <v>0</v>
      </c>
      <c r="BE156" s="304">
        <f>COUNTIF(BE30:BE155,"&lt;&gt;0")</f>
        <v>0</v>
      </c>
      <c r="BF156" s="304">
        <f>COUNTIF(BF30:BF155,"&lt;&gt;0")</f>
        <v>0</v>
      </c>
      <c r="BG156" s="304" t="e">
        <f t="shared" si="89"/>
        <v>#NUM!</v>
      </c>
      <c r="BH156" s="304" t="e">
        <f t="shared" si="90"/>
        <v>#NUM!</v>
      </c>
      <c r="BI156" s="304" t="e">
        <f t="shared" si="91"/>
        <v>#NUM!</v>
      </c>
    </row>
    <row r="157" spans="2:61" ht="105" x14ac:dyDescent="0.2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78">
        <f t="shared" si="94"/>
        <v>4</v>
      </c>
      <c r="Q157" s="68" t="s">
        <v>623</v>
      </c>
      <c r="R157" s="277">
        <v>4</v>
      </c>
      <c r="S157" s="304" t="s">
        <v>648</v>
      </c>
      <c r="U157" s="304">
        <v>52</v>
      </c>
      <c r="V157" s="306" t="s">
        <v>105</v>
      </c>
      <c r="W157" s="319" t="s">
        <v>480</v>
      </c>
      <c r="X157" s="304">
        <v>52</v>
      </c>
    </row>
    <row r="158" spans="2:61" ht="120" x14ac:dyDescent="0.25">
      <c r="L158" s="67"/>
      <c r="M158" s="67"/>
      <c r="N158" s="67"/>
      <c r="O158" s="67"/>
      <c r="P158" s="278">
        <f t="shared" si="94"/>
        <v>3</v>
      </c>
      <c r="Q158" s="68" t="s">
        <v>624</v>
      </c>
      <c r="R158" s="277">
        <v>3</v>
      </c>
      <c r="S158" s="304" t="s">
        <v>649</v>
      </c>
      <c r="U158" s="304">
        <v>51</v>
      </c>
      <c r="V158" s="306" t="s">
        <v>481</v>
      </c>
      <c r="W158" s="319" t="s">
        <v>482</v>
      </c>
      <c r="X158" s="304">
        <v>51</v>
      </c>
    </row>
    <row r="159" spans="2:61" ht="165" x14ac:dyDescent="0.25">
      <c r="L159" s="67"/>
      <c r="M159" s="67"/>
      <c r="N159" s="67"/>
      <c r="O159" s="67"/>
      <c r="P159" s="278">
        <f t="shared" si="94"/>
        <v>2</v>
      </c>
      <c r="Q159" s="68" t="s">
        <v>625</v>
      </c>
      <c r="R159" s="277">
        <v>2</v>
      </c>
      <c r="S159" s="304" t="s">
        <v>650</v>
      </c>
      <c r="U159" s="304">
        <v>50</v>
      </c>
      <c r="V159" s="306" t="s">
        <v>483</v>
      </c>
      <c r="W159" s="319" t="s">
        <v>484</v>
      </c>
      <c r="X159" s="304">
        <v>50</v>
      </c>
    </row>
    <row r="160" spans="2:61" ht="225" x14ac:dyDescent="0.25">
      <c r="L160" s="67"/>
      <c r="M160" s="67"/>
      <c r="N160" s="67"/>
      <c r="O160" s="67"/>
      <c r="P160" s="278">
        <f>R160</f>
        <v>1</v>
      </c>
      <c r="Q160" s="68" t="s">
        <v>626</v>
      </c>
      <c r="R160" s="277">
        <v>1</v>
      </c>
      <c r="S160" s="304" t="s">
        <v>651</v>
      </c>
      <c r="U160" s="304">
        <v>49</v>
      </c>
      <c r="V160" s="306" t="s">
        <v>485</v>
      </c>
      <c r="W160" s="319" t="s">
        <v>486</v>
      </c>
      <c r="X160" s="304">
        <v>49</v>
      </c>
    </row>
    <row r="161" spans="12:24" ht="105" x14ac:dyDescent="0.25">
      <c r="L161" s="67"/>
      <c r="M161" s="67"/>
      <c r="N161" s="67"/>
      <c r="O161" s="67"/>
      <c r="P161" s="67"/>
      <c r="R161" s="60" t="b">
        <f>OR(B4=Q136,B4=Q137,B4=Q138,B4=Q139,B4=Q140,B4=Q141,B4=Q142,B4=Q143,B4=Q144,B4=Q145,B4=Q146,B4=Q147,B4=Q148,B4=Q149,B4=Q150,B4=Q151,B4=Q152,B4=Q153,B4=Q154,B4=Q155,B4=Q156,B4=Q157,B4=Q158,B4=Q159,B4=Q160)</f>
        <v>0</v>
      </c>
      <c r="U161" s="304">
        <v>48</v>
      </c>
      <c r="V161" s="306" t="s">
        <v>487</v>
      </c>
      <c r="W161" s="319" t="s">
        <v>488</v>
      </c>
      <c r="X161" s="304">
        <v>48</v>
      </c>
    </row>
    <row r="162" spans="12:24" ht="195" x14ac:dyDescent="0.25">
      <c r="L162" s="67"/>
      <c r="M162" s="67"/>
      <c r="N162" s="67"/>
      <c r="O162" s="67"/>
      <c r="P162" s="67"/>
      <c r="R162" s="60" t="b">
        <f>OR(B5=Q136,B5=Q137,B5=Q138,B5=Q139,B5=Q140,B5=Q141,B5=Q142,B5=Q143,B5=Q144,B5=Q145,B5=Q146,B5=Q147,B5=Q148,B5=Q149,B5=Q150,B5=Q151,B5=Q152,B5=Q153,B5=Q154,B5=Q155,B5=Q156,B5=Q157,B5=Q158,B5=Q159,B5=Q160)</f>
        <v>0</v>
      </c>
      <c r="U162" s="304">
        <v>47</v>
      </c>
      <c r="V162" s="306" t="s">
        <v>489</v>
      </c>
      <c r="W162" s="319" t="s">
        <v>490</v>
      </c>
      <c r="X162" s="304">
        <v>47</v>
      </c>
    </row>
    <row r="163" spans="12:24" ht="90" x14ac:dyDescent="0.25">
      <c r="L163" s="67"/>
      <c r="M163" s="67"/>
      <c r="N163" s="67"/>
      <c r="O163" s="67"/>
      <c r="P163" s="67"/>
      <c r="R163" s="60" t="b">
        <f>OR(B6=Q136,B6=Q137,B6=Q138,B6=Q139,B6=Q140,B6=Q141,B6=Q142,B6=Q143,B6=Q144,B6=Q145,B6=Q146,B6=Q147,B6=Q148,B6=Q149,B6=Q150,B6=Q151,B6=Q152,B6=Q153,B6=Q154,B6=Q155,B6=Q156,B6=Q157,B6=Q158,B6=Q159,B6=Q160)</f>
        <v>0</v>
      </c>
      <c r="U163" s="304">
        <v>46</v>
      </c>
      <c r="V163" s="306" t="s">
        <v>491</v>
      </c>
      <c r="W163" s="319" t="s">
        <v>492</v>
      </c>
      <c r="X163" s="304">
        <v>46</v>
      </c>
    </row>
    <row r="164" spans="12:24" ht="90" x14ac:dyDescent="0.25">
      <c r="L164" s="67"/>
      <c r="M164" s="67"/>
      <c r="N164" s="67"/>
      <c r="O164" s="67"/>
      <c r="P164" s="67"/>
      <c r="R164" s="60" t="b">
        <f>OR(B7=Q136,B7=Q137,B7=Q138,B7=Q139,B7=Q140,B7=Q141,B7=Q142,B7=Q143,B7=Q144,B7=Q145,B7=Q146,B7=Q147,B7=Q148,B7=Q149,B7=Q150,B7=Q151,B7=Q152,B7=Q153,B7=Q154,B7=Q155,B7=Q156,B7=Q157,B7=Q158,B7=Q159,B7=Q160)</f>
        <v>0</v>
      </c>
      <c r="U164" s="304">
        <v>45</v>
      </c>
      <c r="V164" s="306" t="s">
        <v>493</v>
      </c>
      <c r="W164" s="319" t="s">
        <v>494</v>
      </c>
      <c r="X164" s="304">
        <v>45</v>
      </c>
    </row>
    <row r="165" spans="12:24" ht="75" x14ac:dyDescent="0.25">
      <c r="L165" s="67"/>
      <c r="M165" s="67"/>
      <c r="N165" s="67"/>
      <c r="O165" s="67"/>
      <c r="P165" s="67"/>
      <c r="R165" s="60" t="b">
        <f>OR(B8=Q136,B8=Q137,B8=Q138,B8=Q139,B8=Q140,B8=Q141,B8=Q142,B8=Q143,B8=Q144,B8=Q145,B8=Q146,B8=Q147,B8=Q148,B8=Q149,B8=Q150,B8=Q151,B8=Q152,B8=Q153,B8=Q154,B8=Q155,B8=Q156,B8=Q157,B8=Q158,B8=Q159,B8=Q160)</f>
        <v>0</v>
      </c>
      <c r="U165" s="304">
        <v>44</v>
      </c>
      <c r="V165" s="306" t="s">
        <v>495</v>
      </c>
      <c r="W165" s="319" t="s">
        <v>496</v>
      </c>
      <c r="X165" s="304">
        <v>44</v>
      </c>
    </row>
    <row r="166" spans="12:24" ht="60" x14ac:dyDescent="0.25">
      <c r="L166" s="67"/>
      <c r="M166" s="67"/>
      <c r="N166" s="67"/>
      <c r="O166" s="67"/>
      <c r="P166" s="67"/>
      <c r="R166" s="60" t="b">
        <f>OR(B9=Q136,B9=Q137,B9=Q138,B9=Q139,B9=Q140,B9=Q141,B9=Q142,B9=Q143,B9=Q144,B9=Q145,B9=Q146,B9=Q147,B9=Q148,B9=Q149,B9=Q150,B9=Q151,B9=Q152,B9=Q153,B9=Q154,B9=Q155,B9=Q156,B9=Q157,B9=Q158,B9=Q159,B9=Q160)</f>
        <v>0</v>
      </c>
      <c r="U166" s="304">
        <v>43</v>
      </c>
      <c r="V166" s="306" t="s">
        <v>497</v>
      </c>
      <c r="W166" s="319" t="s">
        <v>498</v>
      </c>
      <c r="X166" s="304">
        <v>43</v>
      </c>
    </row>
    <row r="167" spans="12:24" ht="210" x14ac:dyDescent="0.25">
      <c r="L167" s="67"/>
      <c r="M167" s="67"/>
      <c r="N167" s="67"/>
      <c r="O167" s="67"/>
      <c r="P167" s="67"/>
      <c r="U167" s="304">
        <v>42</v>
      </c>
      <c r="V167" s="306" t="s">
        <v>499</v>
      </c>
      <c r="W167" s="319" t="s">
        <v>500</v>
      </c>
      <c r="X167" s="304">
        <v>42</v>
      </c>
    </row>
    <row r="168" spans="12:24" ht="105" x14ac:dyDescent="0.25">
      <c r="L168" s="67"/>
      <c r="M168" s="67"/>
      <c r="N168" s="67"/>
      <c r="O168" s="67"/>
      <c r="P168" s="67"/>
      <c r="U168" s="304">
        <v>41</v>
      </c>
      <c r="V168" s="306" t="s">
        <v>84</v>
      </c>
      <c r="W168" s="319" t="s">
        <v>501</v>
      </c>
      <c r="X168" s="304">
        <v>41</v>
      </c>
    </row>
    <row r="169" spans="12:24" ht="120" x14ac:dyDescent="0.25">
      <c r="L169" s="67"/>
      <c r="M169" s="67"/>
      <c r="N169" s="67"/>
      <c r="O169" s="67"/>
      <c r="P169" s="67"/>
      <c r="U169" s="304">
        <v>40</v>
      </c>
      <c r="V169" s="306" t="s">
        <v>102</v>
      </c>
      <c r="W169" s="319" t="s">
        <v>502</v>
      </c>
      <c r="X169" s="304">
        <v>40</v>
      </c>
    </row>
    <row r="170" spans="12:24" ht="90" x14ac:dyDescent="0.25">
      <c r="L170" s="67"/>
      <c r="M170" s="67"/>
      <c r="N170" s="67"/>
      <c r="O170" s="67"/>
      <c r="P170" s="67"/>
      <c r="U170" s="304">
        <v>39</v>
      </c>
      <c r="V170" s="306" t="s">
        <v>85</v>
      </c>
      <c r="W170" s="319" t="s">
        <v>503</v>
      </c>
      <c r="X170" s="304">
        <v>39</v>
      </c>
    </row>
    <row r="171" spans="12:24" ht="30" x14ac:dyDescent="0.25">
      <c r="L171" s="67"/>
      <c r="M171" s="67"/>
      <c r="N171" s="67"/>
      <c r="O171" s="67"/>
      <c r="P171" s="67"/>
      <c r="U171" s="304">
        <v>38</v>
      </c>
      <c r="V171" s="306" t="s">
        <v>312</v>
      </c>
      <c r="W171" s="319" t="s">
        <v>504</v>
      </c>
      <c r="X171" s="304">
        <v>38</v>
      </c>
    </row>
    <row r="172" spans="12:24" ht="75" x14ac:dyDescent="0.25">
      <c r="L172" s="67"/>
      <c r="M172" s="67"/>
      <c r="N172" s="67"/>
      <c r="O172" s="67"/>
      <c r="P172" s="67"/>
      <c r="U172" s="304">
        <v>37</v>
      </c>
      <c r="V172" s="306" t="s">
        <v>18</v>
      </c>
      <c r="W172" s="319" t="s">
        <v>505</v>
      </c>
      <c r="X172" s="304">
        <v>37</v>
      </c>
    </row>
    <row r="173" spans="12:24" ht="75" x14ac:dyDescent="0.25">
      <c r="L173" s="67"/>
      <c r="M173" s="67"/>
      <c r="N173" s="67"/>
      <c r="O173" s="67"/>
      <c r="P173" s="67"/>
      <c r="Q173" s="68"/>
      <c r="U173" s="304">
        <v>36</v>
      </c>
      <c r="V173" s="306" t="s">
        <v>31</v>
      </c>
      <c r="W173" s="319" t="s">
        <v>506</v>
      </c>
      <c r="X173" s="304">
        <v>36</v>
      </c>
    </row>
    <row r="174" spans="12:24" ht="60" x14ac:dyDescent="0.25">
      <c r="L174" s="67"/>
      <c r="M174" s="67"/>
      <c r="N174" s="67"/>
      <c r="O174" s="67"/>
      <c r="P174" s="67"/>
      <c r="Q174" s="68"/>
      <c r="U174" s="304">
        <v>35</v>
      </c>
      <c r="V174" s="306" t="s">
        <v>507</v>
      </c>
      <c r="W174" s="319" t="s">
        <v>508</v>
      </c>
      <c r="X174" s="304">
        <v>35</v>
      </c>
    </row>
    <row r="175" spans="12:24" ht="165" x14ac:dyDescent="0.25">
      <c r="L175" s="67"/>
      <c r="M175" s="67"/>
      <c r="N175" s="67"/>
      <c r="O175" s="67"/>
      <c r="P175" s="67"/>
      <c r="Q175" s="68"/>
      <c r="U175" s="304">
        <v>34</v>
      </c>
      <c r="V175" s="306" t="s">
        <v>38</v>
      </c>
      <c r="W175" s="319" t="s">
        <v>509</v>
      </c>
      <c r="X175" s="304">
        <v>34</v>
      </c>
    </row>
    <row r="176" spans="12:24" ht="90" x14ac:dyDescent="0.25">
      <c r="L176" s="67"/>
      <c r="M176" s="67"/>
      <c r="N176" s="67"/>
      <c r="O176" s="67"/>
      <c r="P176" s="67"/>
      <c r="Q176" s="68"/>
      <c r="U176" s="304">
        <v>33</v>
      </c>
      <c r="V176" s="306" t="s">
        <v>510</v>
      </c>
      <c r="W176" s="319" t="s">
        <v>511</v>
      </c>
      <c r="X176" s="304">
        <v>33</v>
      </c>
    </row>
    <row r="177" spans="12:24" ht="225" x14ac:dyDescent="0.25">
      <c r="L177" s="67"/>
      <c r="M177" s="67"/>
      <c r="N177" s="67"/>
      <c r="O177" s="67"/>
      <c r="P177" s="67"/>
      <c r="Q177" s="68"/>
      <c r="U177" s="304">
        <v>32</v>
      </c>
      <c r="V177" s="306" t="s">
        <v>62</v>
      </c>
      <c r="W177" s="319" t="s">
        <v>512</v>
      </c>
      <c r="X177" s="304">
        <v>32</v>
      </c>
    </row>
    <row r="178" spans="12:24" ht="60" x14ac:dyDescent="0.25">
      <c r="L178" s="67"/>
      <c r="M178" s="67"/>
      <c r="N178" s="67"/>
      <c r="O178" s="67"/>
      <c r="P178" s="67"/>
      <c r="Q178" s="68"/>
      <c r="U178" s="304">
        <v>31</v>
      </c>
      <c r="V178" s="306" t="s">
        <v>513</v>
      </c>
      <c r="W178" s="319" t="s">
        <v>514</v>
      </c>
      <c r="X178" s="304">
        <v>31</v>
      </c>
    </row>
    <row r="179" spans="12:24" ht="105" x14ac:dyDescent="0.25">
      <c r="L179" s="67"/>
      <c r="M179" s="67"/>
      <c r="N179" s="67"/>
      <c r="O179" s="67"/>
      <c r="P179" s="67"/>
      <c r="Q179" s="68"/>
      <c r="U179" s="304">
        <v>30</v>
      </c>
      <c r="V179" s="306" t="s">
        <v>515</v>
      </c>
      <c r="W179" s="319" t="s">
        <v>516</v>
      </c>
      <c r="X179" s="304">
        <v>30</v>
      </c>
    </row>
    <row r="180" spans="12:24" ht="135" x14ac:dyDescent="0.25">
      <c r="L180" s="67"/>
      <c r="M180" s="67"/>
      <c r="N180" s="67"/>
      <c r="O180" s="67"/>
      <c r="P180" s="67"/>
      <c r="Q180" s="68"/>
      <c r="U180" s="304">
        <v>29</v>
      </c>
      <c r="V180" s="306" t="s">
        <v>517</v>
      </c>
      <c r="W180" s="319" t="s">
        <v>518</v>
      </c>
      <c r="X180" s="304">
        <v>29</v>
      </c>
    </row>
    <row r="181" spans="12:24" ht="105" x14ac:dyDescent="0.25">
      <c r="L181" s="67"/>
      <c r="M181" s="67"/>
      <c r="N181" s="67"/>
      <c r="O181" s="67"/>
      <c r="P181" s="67"/>
      <c r="Q181" s="68"/>
      <c r="U181" s="304">
        <v>28</v>
      </c>
      <c r="V181" s="306" t="s">
        <v>519</v>
      </c>
      <c r="W181" s="319" t="s">
        <v>520</v>
      </c>
      <c r="X181" s="304">
        <v>28</v>
      </c>
    </row>
    <row r="182" spans="12:24" ht="45" x14ac:dyDescent="0.25">
      <c r="L182" s="67"/>
      <c r="M182" s="67"/>
      <c r="N182" s="67"/>
      <c r="O182" s="67"/>
      <c r="P182" s="67"/>
      <c r="Q182" s="68"/>
      <c r="U182" s="304">
        <v>27</v>
      </c>
      <c r="V182" s="306" t="s">
        <v>521</v>
      </c>
      <c r="W182" s="319" t="s">
        <v>522</v>
      </c>
      <c r="X182" s="304">
        <v>27</v>
      </c>
    </row>
    <row r="183" spans="12:24" ht="135" x14ac:dyDescent="0.25">
      <c r="L183" s="67"/>
      <c r="M183" s="67"/>
      <c r="N183" s="67"/>
      <c r="O183" s="67"/>
      <c r="P183" s="67"/>
      <c r="Q183" s="68"/>
      <c r="U183" s="304">
        <v>26</v>
      </c>
      <c r="V183" s="306" t="s">
        <v>7</v>
      </c>
      <c r="W183" s="319" t="s">
        <v>523</v>
      </c>
      <c r="X183" s="304">
        <v>26</v>
      </c>
    </row>
    <row r="184" spans="12:24" ht="45" x14ac:dyDescent="0.25">
      <c r="L184" s="67"/>
      <c r="M184" s="67"/>
      <c r="N184" s="67"/>
      <c r="O184" s="67"/>
      <c r="P184" s="67"/>
      <c r="Q184" s="68"/>
      <c r="U184" s="304">
        <v>25</v>
      </c>
      <c r="V184" s="306" t="s">
        <v>524</v>
      </c>
      <c r="W184" s="319" t="s">
        <v>525</v>
      </c>
      <c r="X184" s="304">
        <v>25</v>
      </c>
    </row>
    <row r="185" spans="12:24" ht="30" x14ac:dyDescent="0.25">
      <c r="L185" s="67"/>
      <c r="M185" s="67"/>
      <c r="N185" s="67"/>
      <c r="O185" s="67"/>
      <c r="P185" s="67"/>
      <c r="U185" s="304">
        <v>24</v>
      </c>
      <c r="V185" s="306" t="s">
        <v>526</v>
      </c>
      <c r="W185" s="319" t="s">
        <v>527</v>
      </c>
      <c r="X185" s="304">
        <v>24</v>
      </c>
    </row>
    <row r="186" spans="12:24" ht="90" x14ac:dyDescent="0.25">
      <c r="L186" s="67"/>
      <c r="M186" s="67"/>
      <c r="N186" s="67"/>
      <c r="O186" s="67"/>
      <c r="P186" s="67"/>
      <c r="U186" s="304">
        <v>23</v>
      </c>
      <c r="V186" s="306" t="s">
        <v>8</v>
      </c>
      <c r="W186" s="319" t="s">
        <v>528</v>
      </c>
      <c r="X186" s="304">
        <v>23</v>
      </c>
    </row>
    <row r="187" spans="12:24" ht="90" x14ac:dyDescent="0.25">
      <c r="L187" s="67"/>
      <c r="M187" s="67"/>
      <c r="N187" s="67"/>
      <c r="O187" s="67"/>
      <c r="P187" s="67"/>
      <c r="U187" s="304">
        <v>22</v>
      </c>
      <c r="V187" s="306" t="s">
        <v>67</v>
      </c>
      <c r="W187" s="319" t="s">
        <v>529</v>
      </c>
      <c r="X187" s="304">
        <v>22</v>
      </c>
    </row>
    <row r="188" spans="12:24" ht="30" x14ac:dyDescent="0.25">
      <c r="L188" s="67"/>
      <c r="M188" s="67"/>
      <c r="N188" s="67"/>
      <c r="O188" s="67"/>
      <c r="P188" s="67"/>
      <c r="U188" s="304">
        <v>21</v>
      </c>
      <c r="V188" s="306" t="s">
        <v>127</v>
      </c>
      <c r="W188" s="319" t="s">
        <v>530</v>
      </c>
      <c r="X188" s="304">
        <v>21</v>
      </c>
    </row>
    <row r="189" spans="12:24" x14ac:dyDescent="0.25">
      <c r="L189" s="67"/>
      <c r="M189" s="67"/>
      <c r="N189" s="67"/>
      <c r="O189" s="67"/>
      <c r="P189" s="67"/>
      <c r="U189" s="304">
        <v>20</v>
      </c>
      <c r="V189" s="306" t="s">
        <v>531</v>
      </c>
      <c r="W189" s="319" t="s">
        <v>532</v>
      </c>
      <c r="X189" s="304">
        <v>20</v>
      </c>
    </row>
    <row r="190" spans="12:24" ht="45" x14ac:dyDescent="0.25">
      <c r="L190" s="67"/>
      <c r="M190" s="67"/>
      <c r="N190" s="67"/>
      <c r="O190" s="67"/>
      <c r="P190" s="67"/>
      <c r="U190" s="304">
        <v>19</v>
      </c>
      <c r="V190" s="306" t="s">
        <v>533</v>
      </c>
      <c r="W190" s="319" t="s">
        <v>534</v>
      </c>
      <c r="X190" s="304">
        <v>19</v>
      </c>
    </row>
    <row r="191" spans="12:24" ht="105" x14ac:dyDescent="0.25">
      <c r="L191" s="67"/>
      <c r="M191" s="67"/>
      <c r="N191" s="67"/>
      <c r="O191" s="67"/>
      <c r="P191" s="67"/>
      <c r="U191" s="304">
        <v>18</v>
      </c>
      <c r="V191" s="306" t="s">
        <v>56</v>
      </c>
      <c r="W191" s="319" t="s">
        <v>535</v>
      </c>
      <c r="X191" s="304">
        <v>18</v>
      </c>
    </row>
    <row r="192" spans="12:24" ht="60" x14ac:dyDescent="0.25">
      <c r="L192" s="67"/>
      <c r="M192" s="67"/>
      <c r="N192" s="67"/>
      <c r="O192" s="67"/>
      <c r="P192" s="67"/>
      <c r="U192" s="304">
        <v>17</v>
      </c>
      <c r="V192" s="306" t="s">
        <v>9</v>
      </c>
      <c r="W192" s="319" t="s">
        <v>536</v>
      </c>
      <c r="X192" s="304">
        <v>17</v>
      </c>
    </row>
    <row r="193" spans="12:24" ht="120" x14ac:dyDescent="0.25">
      <c r="L193" s="67"/>
      <c r="M193" s="67"/>
      <c r="N193" s="67"/>
      <c r="O193" s="67"/>
      <c r="P193" s="67"/>
      <c r="U193" s="304">
        <v>16</v>
      </c>
      <c r="V193" s="306" t="s">
        <v>95</v>
      </c>
      <c r="W193" s="319" t="s">
        <v>537</v>
      </c>
      <c r="X193" s="304">
        <v>16</v>
      </c>
    </row>
    <row r="194" spans="12:24" ht="90" x14ac:dyDescent="0.25">
      <c r="L194" s="67"/>
      <c r="M194" s="67"/>
      <c r="N194" s="67"/>
      <c r="O194" s="67"/>
      <c r="P194" s="67"/>
      <c r="U194" s="304">
        <v>15</v>
      </c>
      <c r="V194" s="306" t="s">
        <v>32</v>
      </c>
      <c r="W194" s="319" t="s">
        <v>538</v>
      </c>
      <c r="X194" s="304">
        <v>15</v>
      </c>
    </row>
    <row r="195" spans="12:24" ht="60" x14ac:dyDescent="0.25">
      <c r="L195" s="67"/>
      <c r="M195" s="67"/>
      <c r="N195" s="67"/>
      <c r="O195" s="67"/>
      <c r="P195" s="67"/>
      <c r="U195" s="304">
        <v>14</v>
      </c>
      <c r="V195" s="306" t="s">
        <v>309</v>
      </c>
      <c r="W195" s="319" t="s">
        <v>539</v>
      </c>
      <c r="X195" s="304">
        <v>14</v>
      </c>
    </row>
    <row r="196" spans="12:24" ht="45" x14ac:dyDescent="0.25">
      <c r="L196" s="67"/>
      <c r="M196" s="67"/>
      <c r="N196" s="67"/>
      <c r="O196" s="67"/>
      <c r="P196" s="67"/>
      <c r="U196" s="304">
        <v>13</v>
      </c>
      <c r="V196" s="306" t="s">
        <v>75</v>
      </c>
      <c r="W196" s="319" t="s">
        <v>540</v>
      </c>
      <c r="X196" s="304">
        <v>13</v>
      </c>
    </row>
    <row r="197" spans="12:24" ht="135" x14ac:dyDescent="0.25">
      <c r="L197" s="67"/>
      <c r="M197" s="67"/>
      <c r="N197" s="67"/>
      <c r="O197" s="67"/>
      <c r="P197" s="67"/>
      <c r="U197" s="304">
        <v>12</v>
      </c>
      <c r="V197" s="306" t="s">
        <v>68</v>
      </c>
      <c r="W197" s="319" t="s">
        <v>541</v>
      </c>
      <c r="X197" s="304">
        <v>12</v>
      </c>
    </row>
    <row r="198" spans="12:24" ht="75" x14ac:dyDescent="0.25">
      <c r="L198" s="67"/>
      <c r="M198" s="67"/>
      <c r="N198" s="67"/>
      <c r="O198" s="67"/>
      <c r="P198" s="67"/>
      <c r="U198" s="304">
        <v>11</v>
      </c>
      <c r="V198" s="306" t="s">
        <v>50</v>
      </c>
      <c r="W198" s="319" t="s">
        <v>542</v>
      </c>
      <c r="X198" s="304">
        <v>11</v>
      </c>
    </row>
    <row r="199" spans="12:24" ht="45" x14ac:dyDescent="0.25">
      <c r="L199" s="67"/>
      <c r="M199" s="67"/>
      <c r="N199" s="67"/>
      <c r="O199" s="67"/>
      <c r="P199" s="67"/>
      <c r="U199" s="304">
        <v>10</v>
      </c>
      <c r="V199" s="306" t="s">
        <v>65</v>
      </c>
      <c r="W199" s="319" t="s">
        <v>543</v>
      </c>
      <c r="X199" s="304">
        <v>10</v>
      </c>
    </row>
    <row r="200" spans="12:24" ht="105" x14ac:dyDescent="0.25">
      <c r="L200" s="67"/>
      <c r="M200" s="67"/>
      <c r="N200" s="67"/>
      <c r="O200" s="67"/>
      <c r="P200" s="67"/>
      <c r="U200" s="304">
        <v>9</v>
      </c>
      <c r="V200" s="306" t="s">
        <v>20</v>
      </c>
      <c r="W200" s="319" t="s">
        <v>544</v>
      </c>
      <c r="X200" s="304">
        <v>9</v>
      </c>
    </row>
    <row r="201" spans="12:24" ht="165" x14ac:dyDescent="0.25">
      <c r="L201" s="67"/>
      <c r="M201" s="67"/>
      <c r="N201" s="67"/>
      <c r="O201" s="67"/>
      <c r="P201" s="67"/>
      <c r="U201" s="304">
        <v>8</v>
      </c>
      <c r="V201" s="306" t="s">
        <v>13</v>
      </c>
      <c r="W201" s="319" t="s">
        <v>545</v>
      </c>
      <c r="X201" s="304">
        <v>8</v>
      </c>
    </row>
    <row r="202" spans="12:24" ht="90" x14ac:dyDescent="0.25">
      <c r="L202" s="67"/>
      <c r="M202" s="67"/>
      <c r="N202" s="67"/>
      <c r="O202" s="67"/>
      <c r="P202" s="67"/>
      <c r="U202" s="304">
        <v>7</v>
      </c>
      <c r="V202" s="306" t="s">
        <v>39</v>
      </c>
      <c r="W202" s="319" t="s">
        <v>546</v>
      </c>
      <c r="X202" s="304">
        <v>7</v>
      </c>
    </row>
    <row r="203" spans="12:24" ht="120" x14ac:dyDescent="0.25">
      <c r="L203" s="67"/>
      <c r="M203" s="67"/>
      <c r="N203" s="67"/>
      <c r="O203" s="67"/>
      <c r="P203" s="67"/>
      <c r="U203" s="304">
        <v>6</v>
      </c>
      <c r="V203" s="306" t="s">
        <v>64</v>
      </c>
      <c r="W203" s="319" t="s">
        <v>547</v>
      </c>
      <c r="X203" s="304">
        <v>6</v>
      </c>
    </row>
    <row r="204" spans="12:24" ht="120" x14ac:dyDescent="0.25">
      <c r="L204" s="67"/>
      <c r="M204" s="67"/>
      <c r="N204" s="67"/>
      <c r="O204" s="67"/>
      <c r="P204" s="67"/>
      <c r="U204" s="304">
        <v>5</v>
      </c>
      <c r="V204" s="306" t="s">
        <v>548</v>
      </c>
      <c r="W204" s="319" t="s">
        <v>549</v>
      </c>
      <c r="X204" s="304">
        <v>5</v>
      </c>
    </row>
    <row r="205" spans="12:24" ht="180" x14ac:dyDescent="0.25">
      <c r="L205" s="67"/>
      <c r="M205" s="67"/>
      <c r="N205" s="67"/>
      <c r="O205" s="67"/>
      <c r="P205" s="67"/>
      <c r="U205" s="304">
        <v>4</v>
      </c>
      <c r="V205" s="306" t="s">
        <v>51</v>
      </c>
      <c r="W205" s="319" t="s">
        <v>550</v>
      </c>
      <c r="X205" s="304">
        <v>4</v>
      </c>
    </row>
    <row r="206" spans="12:24" ht="90" x14ac:dyDescent="0.25">
      <c r="L206" s="67"/>
      <c r="M206" s="67"/>
      <c r="N206" s="67"/>
      <c r="O206" s="67"/>
      <c r="P206" s="67"/>
      <c r="U206" s="304">
        <v>3</v>
      </c>
      <c r="V206" s="306" t="s">
        <v>40</v>
      </c>
      <c r="W206" s="319" t="s">
        <v>551</v>
      </c>
      <c r="X206" s="304">
        <v>3</v>
      </c>
    </row>
    <row r="207" spans="12:24" ht="45" x14ac:dyDescent="0.25">
      <c r="L207" s="67"/>
      <c r="M207" s="67"/>
      <c r="N207" s="67"/>
      <c r="O207" s="67"/>
      <c r="P207" s="67"/>
      <c r="U207" s="304">
        <v>2</v>
      </c>
      <c r="V207" s="306" t="s">
        <v>46</v>
      </c>
      <c r="W207" s="319" t="s">
        <v>552</v>
      </c>
      <c r="X207" s="304">
        <v>2</v>
      </c>
    </row>
    <row r="208" spans="12:24" ht="75" x14ac:dyDescent="0.25">
      <c r="L208" s="67"/>
      <c r="M208" s="67"/>
      <c r="N208" s="67"/>
      <c r="O208" s="67"/>
      <c r="P208" s="67"/>
      <c r="U208" s="304">
        <v>1</v>
      </c>
      <c r="V208" s="306" t="s">
        <v>3</v>
      </c>
      <c r="W208" s="319" t="s">
        <v>553</v>
      </c>
      <c r="X208" s="304">
        <v>1</v>
      </c>
    </row>
    <row r="209" spans="12:66" x14ac:dyDescent="0.25">
      <c r="L209" s="67"/>
      <c r="M209" s="67"/>
      <c r="N209" s="67"/>
      <c r="O209" s="67"/>
      <c r="P209" s="67"/>
    </row>
    <row r="210" spans="12:66" x14ac:dyDescent="0.25">
      <c r="L210" s="67"/>
      <c r="M210" s="67"/>
      <c r="N210" s="67"/>
      <c r="O210" s="67"/>
      <c r="P210" s="67"/>
    </row>
    <row r="211" spans="12:66" x14ac:dyDescent="0.25">
      <c r="L211" s="67"/>
      <c r="M211" s="67"/>
      <c r="N211" s="67"/>
      <c r="O211" s="67"/>
      <c r="P211" s="67"/>
    </row>
    <row r="212" spans="12:66" x14ac:dyDescent="0.25">
      <c r="L212" s="67"/>
      <c r="M212" s="67"/>
      <c r="N212" s="67"/>
      <c r="O212" s="67"/>
      <c r="P212" s="67"/>
    </row>
    <row r="213" spans="12:66" x14ac:dyDescent="0.25">
      <c r="L213" s="67"/>
      <c r="M213" s="67"/>
      <c r="N213" s="67"/>
      <c r="O213" s="67"/>
      <c r="P213" s="67"/>
    </row>
    <row r="214" spans="12:66" x14ac:dyDescent="0.25">
      <c r="L214" s="67"/>
      <c r="M214" s="67"/>
      <c r="N214" s="67"/>
      <c r="O214" s="67"/>
      <c r="P214" s="67"/>
    </row>
    <row r="218" spans="12:66" x14ac:dyDescent="0.25">
      <c r="BN218" s="3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D149"/>
  <sheetViews>
    <sheetView workbookViewId="0"/>
  </sheetViews>
  <sheetFormatPr defaultRowHeight="15" x14ac:dyDescent="0.25"/>
  <sheetData>
    <row r="1" spans="1:56" x14ac:dyDescent="0.25">
      <c r="A1" s="14"/>
      <c r="B1" s="116" t="s">
        <v>840</v>
      </c>
      <c r="C1" s="164" t="s">
        <v>240</v>
      </c>
      <c r="D1" s="15" t="s">
        <v>241</v>
      </c>
      <c r="E1" s="84" t="s">
        <v>242</v>
      </c>
      <c r="F1" s="127" t="s">
        <v>247</v>
      </c>
      <c r="G1" s="15" t="s">
        <v>559</v>
      </c>
      <c r="H1" s="164" t="s">
        <v>243</v>
      </c>
      <c r="I1" s="554" t="s">
        <v>287</v>
      </c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5"/>
      <c r="AD1" s="16"/>
      <c r="AE1" s="16"/>
      <c r="AF1" s="16"/>
      <c r="AG1" s="16"/>
      <c r="AH1" s="16"/>
      <c r="AI1" s="15" t="s">
        <v>559</v>
      </c>
      <c r="AJ1" s="15" t="s">
        <v>560</v>
      </c>
      <c r="AK1" s="17" t="s">
        <v>561</v>
      </c>
      <c r="AL1" s="84"/>
      <c r="AM1" s="173" t="s">
        <v>699</v>
      </c>
      <c r="AN1" s="550" t="s">
        <v>583</v>
      </c>
      <c r="AO1" s="551"/>
      <c r="AP1" s="551"/>
      <c r="AQ1" s="551"/>
      <c r="AR1" s="551"/>
      <c r="AS1" s="551"/>
      <c r="AT1" s="551"/>
      <c r="AU1" s="551"/>
      <c r="AV1" s="551"/>
      <c r="AW1" s="550" t="s">
        <v>778</v>
      </c>
      <c r="AX1" s="551"/>
      <c r="AY1" s="551"/>
      <c r="AZ1" s="299"/>
      <c r="BA1" s="299"/>
      <c r="BB1" s="323" t="s">
        <v>2254</v>
      </c>
      <c r="BC1" s="324"/>
      <c r="BD1" s="325"/>
    </row>
    <row r="2" spans="1:56" x14ac:dyDescent="0.25">
      <c r="A2" s="18"/>
      <c r="B2" s="20"/>
      <c r="C2" s="165"/>
      <c r="D2" s="20"/>
      <c r="E2" s="134"/>
      <c r="F2" s="128"/>
      <c r="G2" s="20"/>
      <c r="H2" s="165"/>
      <c r="I2" s="556" t="s">
        <v>822</v>
      </c>
      <c r="J2" s="557"/>
      <c r="K2" s="557"/>
      <c r="L2" s="557"/>
      <c r="M2" s="557"/>
      <c r="N2" s="557"/>
      <c r="O2" s="557"/>
      <c r="P2" s="557" t="s">
        <v>288</v>
      </c>
      <c r="Q2" s="557"/>
      <c r="R2" s="557"/>
      <c r="S2" s="557"/>
      <c r="T2" s="557"/>
      <c r="U2" s="557"/>
      <c r="V2" s="557"/>
      <c r="W2" s="557" t="s">
        <v>289</v>
      </c>
      <c r="X2" s="557"/>
      <c r="Y2" s="557"/>
      <c r="Z2" s="557"/>
      <c r="AA2" s="557"/>
      <c r="AB2" s="557"/>
      <c r="AC2" s="558"/>
      <c r="AD2" s="21"/>
      <c r="AE2" s="21"/>
      <c r="AF2" s="21"/>
      <c r="AG2" s="21"/>
      <c r="AH2" s="21"/>
      <c r="AI2" s="19"/>
      <c r="AJ2" s="19"/>
      <c r="AK2" s="22"/>
      <c r="AM2" s="174"/>
      <c r="AN2" s="553" t="s">
        <v>720</v>
      </c>
      <c r="AO2" s="552"/>
      <c r="AP2" s="557" t="s">
        <v>721</v>
      </c>
      <c r="AQ2" s="557"/>
      <c r="AR2" s="552" t="s">
        <v>722</v>
      </c>
      <c r="AS2" s="552"/>
      <c r="AT2" s="86" t="s">
        <v>756</v>
      </c>
      <c r="AU2" s="86" t="s">
        <v>757</v>
      </c>
      <c r="AV2" s="86" t="s">
        <v>762</v>
      </c>
      <c r="AW2" s="91" t="s">
        <v>776</v>
      </c>
      <c r="AX2" s="86" t="s">
        <v>777</v>
      </c>
      <c r="AY2" s="293" t="s">
        <v>760</v>
      </c>
      <c r="AZ2" s="300"/>
      <c r="BA2" s="300"/>
      <c r="BB2" s="342" t="s">
        <v>2255</v>
      </c>
      <c r="BC2" s="301" t="s">
        <v>2256</v>
      </c>
      <c r="BD2" s="302" t="s">
        <v>2257</v>
      </c>
    </row>
    <row r="3" spans="1:56" x14ac:dyDescent="0.25">
      <c r="A3" s="92" t="s">
        <v>132</v>
      </c>
      <c r="B3" s="12" t="s">
        <v>133</v>
      </c>
      <c r="C3" s="208" t="s">
        <v>134</v>
      </c>
      <c r="D3" s="12" t="s">
        <v>239</v>
      </c>
      <c r="E3" s="135" t="s">
        <v>234</v>
      </c>
      <c r="F3" s="132" t="s">
        <v>278</v>
      </c>
      <c r="G3" s="98" t="s">
        <v>590</v>
      </c>
      <c r="H3" s="166" t="s">
        <v>235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26" t="str">
        <f>D3</f>
        <v>Danger</v>
      </c>
      <c r="AM3" s="175">
        <v>500</v>
      </c>
      <c r="AN3" s="99"/>
      <c r="AO3" s="116" t="s">
        <v>744</v>
      </c>
      <c r="AP3" s="116" t="s">
        <v>751</v>
      </c>
      <c r="AQ3" s="116" t="s">
        <v>752</v>
      </c>
      <c r="AR3" s="97"/>
      <c r="AS3" s="97"/>
      <c r="AT3" s="97"/>
      <c r="AU3" s="99" t="s">
        <v>764</v>
      </c>
      <c r="AV3" s="99" t="s">
        <v>763</v>
      </c>
      <c r="AW3" s="49" t="s">
        <v>765</v>
      </c>
      <c r="AX3" s="97"/>
      <c r="AY3" s="135"/>
      <c r="AZ3" s="31" t="str">
        <f>VLOOKUP(E3,'H phrases'!$B$2:$C$98,2,FALSE)</f>
        <v>Unstable explosives.</v>
      </c>
      <c r="BA3" s="149" t="s">
        <v>2240</v>
      </c>
      <c r="BB3" s="333"/>
      <c r="BC3" s="97"/>
      <c r="BD3" s="334" t="str">
        <f>"when a waste contains one or more substances classified as"&amp;" "&amp;E3&amp;" the wast shall be assessd for HP1, where appropriate and proportionate, according to test methods"</f>
        <v>when a waste contains one or more substances classified as H200 the wast shall be assessd for HP1, where appropriate and proportionate, according to test methods</v>
      </c>
    </row>
    <row r="4" spans="1:56" x14ac:dyDescent="0.25">
      <c r="A4" s="93"/>
      <c r="B4" s="11"/>
      <c r="C4" s="208" t="s">
        <v>135</v>
      </c>
      <c r="D4" s="12" t="s">
        <v>239</v>
      </c>
      <c r="E4" s="136" t="s">
        <v>236</v>
      </c>
      <c r="F4" s="130" t="s">
        <v>278</v>
      </c>
      <c r="G4" s="100" t="s">
        <v>590</v>
      </c>
      <c r="H4" s="167" t="s">
        <v>235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 t="str">
        <f t="shared" ref="AL4:AL67" si="0">D4</f>
        <v>Danger</v>
      </c>
      <c r="AM4" s="176">
        <v>500</v>
      </c>
      <c r="AN4" s="117"/>
      <c r="AO4" s="49" t="s">
        <v>744</v>
      </c>
      <c r="AP4" s="49" t="s">
        <v>751</v>
      </c>
      <c r="AQ4" s="49" t="s">
        <v>752</v>
      </c>
      <c r="AR4" s="26"/>
      <c r="AS4" s="26"/>
      <c r="AT4" s="26"/>
      <c r="AU4" s="49" t="s">
        <v>764</v>
      </c>
      <c r="AV4" s="49" t="s">
        <v>763</v>
      </c>
      <c r="AW4" s="49" t="s">
        <v>765</v>
      </c>
      <c r="AX4" s="26"/>
      <c r="AY4" s="136"/>
      <c r="AZ4" s="136" t="str">
        <f>VLOOKUP(E4,'H phrases'!$B$2:$C$98,2,FALSE)</f>
        <v>Explosive; mass explosion hazard.</v>
      </c>
      <c r="BA4" s="149" t="s">
        <v>2240</v>
      </c>
      <c r="BB4" s="335"/>
      <c r="BC4" s="26"/>
      <c r="BD4" s="336" t="str">
        <f>"when a waste contains one or more substances classified as"&amp;" "&amp;E4&amp;" the wast shall be assessd for HP1, where appropriate and proportionate, according to test methods"</f>
        <v>when a waste contains one or more substances classified as H201 the wast shall be assessd for HP1, where appropriate and proportionate, according to test methods</v>
      </c>
    </row>
    <row r="5" spans="1:56" x14ac:dyDescent="0.25">
      <c r="A5" s="94"/>
      <c r="B5" s="11"/>
      <c r="C5" s="208" t="s">
        <v>136</v>
      </c>
      <c r="D5" s="12" t="s">
        <v>239</v>
      </c>
      <c r="E5" s="136" t="s">
        <v>237</v>
      </c>
      <c r="F5" s="130" t="s">
        <v>278</v>
      </c>
      <c r="G5" s="100" t="s">
        <v>590</v>
      </c>
      <c r="H5" s="167" t="s">
        <v>235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 t="str">
        <f t="shared" si="0"/>
        <v>Danger</v>
      </c>
      <c r="AM5" s="176">
        <v>500</v>
      </c>
      <c r="AN5" s="117"/>
      <c r="AO5" s="49" t="s">
        <v>744</v>
      </c>
      <c r="AP5" s="49" t="s">
        <v>751</v>
      </c>
      <c r="AQ5" s="49" t="s">
        <v>752</v>
      </c>
      <c r="AR5" s="26"/>
      <c r="AS5" s="26"/>
      <c r="AT5" s="26"/>
      <c r="AU5" s="49" t="s">
        <v>764</v>
      </c>
      <c r="AV5" s="49" t="s">
        <v>763</v>
      </c>
      <c r="AW5" s="49" t="s">
        <v>765</v>
      </c>
      <c r="AX5" s="26"/>
      <c r="AY5" s="136"/>
      <c r="AZ5" s="136" t="str">
        <f>VLOOKUP(E5,'H phrases'!$B$2:$C$98,2,FALSE)</f>
        <v>Explosive, severe projection hazard.</v>
      </c>
      <c r="BA5" s="149" t="s">
        <v>2240</v>
      </c>
      <c r="BB5" s="335"/>
      <c r="BC5" s="26"/>
      <c r="BD5" s="336" t="str">
        <f>"when a waste contains one or more substances classified as"&amp;" "&amp;E5&amp;" the wast shall be assessd for HP1, where appropriate and proportionate, according to test methods"</f>
        <v>when a waste contains one or more substances classified as H202 the wast shall be assessd for HP1, where appropriate and proportionate, according to test methods</v>
      </c>
    </row>
    <row r="6" spans="1:56" x14ac:dyDescent="0.25">
      <c r="A6" s="93"/>
      <c r="B6" s="11"/>
      <c r="C6" s="208" t="s">
        <v>137</v>
      </c>
      <c r="D6" s="12" t="s">
        <v>239</v>
      </c>
      <c r="E6" s="136" t="s">
        <v>238</v>
      </c>
      <c r="F6" s="130" t="s">
        <v>278</v>
      </c>
      <c r="G6" s="100" t="s">
        <v>590</v>
      </c>
      <c r="H6" s="167" t="s">
        <v>235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 t="str">
        <f t="shared" si="0"/>
        <v>Danger</v>
      </c>
      <c r="AM6" s="176">
        <v>500</v>
      </c>
      <c r="AN6" s="117"/>
      <c r="AO6" s="49" t="s">
        <v>744</v>
      </c>
      <c r="AP6" s="49" t="s">
        <v>751</v>
      </c>
      <c r="AQ6" s="49" t="s">
        <v>752</v>
      </c>
      <c r="AR6" s="26"/>
      <c r="AS6" s="26"/>
      <c r="AT6" s="26"/>
      <c r="AU6" s="49" t="s">
        <v>764</v>
      </c>
      <c r="AV6" s="49" t="s">
        <v>763</v>
      </c>
      <c r="AW6" s="49" t="s">
        <v>765</v>
      </c>
      <c r="AX6" s="26"/>
      <c r="AY6" s="136"/>
      <c r="AZ6" s="136" t="str">
        <f>VLOOKUP(E6,'H phrases'!$B$2:$C$98,2,FALSE)</f>
        <v>Explosive; fire, blast or projection hazard.</v>
      </c>
      <c r="BA6" s="149" t="s">
        <v>2240</v>
      </c>
      <c r="BB6" s="335"/>
      <c r="BC6" s="26"/>
      <c r="BD6" s="336" t="str">
        <f>"when a waste contains one or more substances classified as"&amp;" "&amp;E6&amp;" the wast shall be assessd for HP1, where appropriate and proportionate, according to test methods"</f>
        <v>when a waste contains one or more substances classified as H203 the wast shall be assessd for HP1, where appropriate and proportionate, according to test methods</v>
      </c>
    </row>
    <row r="7" spans="1:56" x14ac:dyDescent="0.25">
      <c r="A7" s="94"/>
      <c r="B7" s="11"/>
      <c r="C7" s="208" t="s">
        <v>138</v>
      </c>
      <c r="D7" s="12" t="s">
        <v>244</v>
      </c>
      <c r="E7" s="136" t="s">
        <v>245</v>
      </c>
      <c r="F7" s="130" t="s">
        <v>278</v>
      </c>
      <c r="G7" s="100" t="s">
        <v>591</v>
      </c>
      <c r="H7" s="167" t="s">
        <v>235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 t="str">
        <f t="shared" si="0"/>
        <v>Warning</v>
      </c>
      <c r="AM7" s="176">
        <v>500</v>
      </c>
      <c r="AN7" s="117"/>
      <c r="AO7" s="49" t="s">
        <v>744</v>
      </c>
      <c r="AP7" s="49" t="s">
        <v>751</v>
      </c>
      <c r="AQ7" s="49" t="s">
        <v>752</v>
      </c>
      <c r="AR7" s="26"/>
      <c r="AS7" s="26"/>
      <c r="AT7" s="26"/>
      <c r="AU7" s="49" t="s">
        <v>764</v>
      </c>
      <c r="AV7" s="49" t="s">
        <v>763</v>
      </c>
      <c r="AW7" s="49" t="s">
        <v>765</v>
      </c>
      <c r="AX7" s="26"/>
      <c r="AY7" s="136"/>
      <c r="AZ7" s="136" t="str">
        <f>VLOOKUP(E7,'H phrases'!$B$2:$C$98,2,FALSE)</f>
        <v>Fire or projection hazard.</v>
      </c>
      <c r="BA7" s="149" t="s">
        <v>2240</v>
      </c>
      <c r="BB7" s="335"/>
      <c r="BC7" s="26"/>
      <c r="BD7" s="336" t="str">
        <f>"when a waste contains one or more substances classified as"&amp;" "&amp;E7&amp;" the wast shall be assessd for HP1, where appropriate and proportionate, according to test methods"</f>
        <v>when a waste contains one or more substances classified as H204 the wast shall be assessd for HP1, where appropriate and proportionate, according to test methods</v>
      </c>
    </row>
    <row r="8" spans="1:56" x14ac:dyDescent="0.25">
      <c r="A8" s="94"/>
      <c r="B8" s="11"/>
      <c r="C8" s="208" t="s">
        <v>139</v>
      </c>
      <c r="D8" s="12" t="s">
        <v>239</v>
      </c>
      <c r="E8" s="136" t="s">
        <v>246</v>
      </c>
      <c r="F8" s="130"/>
      <c r="G8" s="100" t="s">
        <v>590</v>
      </c>
      <c r="H8" s="167" t="s">
        <v>235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 t="str">
        <f t="shared" si="0"/>
        <v>Danger</v>
      </c>
      <c r="AM8" s="176">
        <v>500</v>
      </c>
      <c r="AN8" s="117"/>
      <c r="AO8" s="49" t="s">
        <v>744</v>
      </c>
      <c r="AP8" s="49" t="s">
        <v>751</v>
      </c>
      <c r="AQ8" s="49" t="s">
        <v>752</v>
      </c>
      <c r="AR8" s="26"/>
      <c r="AS8" s="26"/>
      <c r="AT8" s="26"/>
      <c r="AU8" s="49" t="s">
        <v>764</v>
      </c>
      <c r="AV8" s="49" t="s">
        <v>763</v>
      </c>
      <c r="AW8" s="49" t="s">
        <v>765</v>
      </c>
      <c r="AX8" s="26"/>
      <c r="AY8" s="136"/>
      <c r="AZ8" s="136" t="str">
        <f>VLOOKUP(E8,'H phrases'!$B$2:$C$98,2,FALSE)</f>
        <v>May mass explode in fire.</v>
      </c>
      <c r="BA8" s="25" t="s">
        <v>2253</v>
      </c>
      <c r="BB8" s="335"/>
      <c r="BC8" s="26"/>
      <c r="BD8" s="336" t="s">
        <v>2340</v>
      </c>
    </row>
    <row r="9" spans="1:56" x14ac:dyDescent="0.25">
      <c r="A9" s="94"/>
      <c r="B9" s="11"/>
      <c r="C9" s="208" t="s">
        <v>140</v>
      </c>
      <c r="D9" s="12" t="s">
        <v>277</v>
      </c>
      <c r="E9" s="136"/>
      <c r="F9" s="130"/>
      <c r="G9" s="100"/>
      <c r="H9" s="167" t="s">
        <v>235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176">
        <v>500</v>
      </c>
      <c r="AN9" s="101"/>
      <c r="AO9" s="118"/>
      <c r="AP9" s="101"/>
      <c r="AQ9" s="101"/>
      <c r="AR9" s="26"/>
      <c r="AS9" s="26"/>
      <c r="AT9" s="26"/>
      <c r="AU9" s="26"/>
      <c r="AV9" s="49"/>
      <c r="AW9" s="26"/>
      <c r="AX9" s="26"/>
      <c r="AY9" s="136"/>
      <c r="AZ9" s="136"/>
      <c r="BA9" s="25"/>
      <c r="BB9" s="335"/>
      <c r="BC9" s="26"/>
      <c r="BD9" s="337"/>
    </row>
    <row r="10" spans="1:56" x14ac:dyDescent="0.25">
      <c r="A10" s="94"/>
      <c r="B10" s="12" t="s">
        <v>141</v>
      </c>
      <c r="C10" s="208" t="s">
        <v>142</v>
      </c>
      <c r="D10" s="12" t="s">
        <v>239</v>
      </c>
      <c r="E10" s="137" t="s">
        <v>248</v>
      </c>
      <c r="F10" s="130" t="s">
        <v>279</v>
      </c>
      <c r="G10" s="100" t="s">
        <v>592</v>
      </c>
      <c r="H10" s="168" t="s">
        <v>235</v>
      </c>
      <c r="I10" s="100" t="s">
        <v>4</v>
      </c>
      <c r="J10" s="100" t="s">
        <v>7</v>
      </c>
      <c r="K10" s="100" t="s">
        <v>9</v>
      </c>
      <c r="L10" s="26"/>
      <c r="M10" s="26"/>
      <c r="N10" s="26"/>
      <c r="O10" s="26"/>
      <c r="P10" s="49" t="s">
        <v>8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49" t="s">
        <v>562</v>
      </c>
      <c r="AL10" s="26" t="str">
        <f t="shared" si="0"/>
        <v>Danger</v>
      </c>
      <c r="AM10" s="50">
        <v>500</v>
      </c>
      <c r="AN10" s="49" t="s">
        <v>743</v>
      </c>
      <c r="AO10" s="49"/>
      <c r="AP10" s="49" t="s">
        <v>751</v>
      </c>
      <c r="AQ10" s="101"/>
      <c r="AR10" s="26"/>
      <c r="AS10" s="26"/>
      <c r="AT10" s="26"/>
      <c r="AU10" s="49" t="s">
        <v>764</v>
      </c>
      <c r="AV10" s="49" t="s">
        <v>763</v>
      </c>
      <c r="AW10" s="49" t="s">
        <v>765</v>
      </c>
      <c r="AX10" s="26"/>
      <c r="AY10" s="136"/>
      <c r="AZ10" s="136" t="str">
        <f>VLOOKUP(E10,'H phrases'!$B$2:$C$98,2,FALSE)</f>
        <v>Extremely flammable gas.</v>
      </c>
      <c r="BA10" s="25" t="s">
        <v>2242</v>
      </c>
      <c r="BB10" s="335"/>
      <c r="BC10" s="26"/>
      <c r="BD10" s="336" t="str">
        <f>"when a waste contains one or more substances classified as"&amp;" "&amp;E10&amp;" the wast shall be assessd for HP3, where appropriate and proportionate, according to test methods"</f>
        <v>when a waste contains one or more substances classified as H220 the wast shall be assessd for HP3, where appropriate and proportionate, according to test methods</v>
      </c>
    </row>
    <row r="11" spans="1:56" x14ac:dyDescent="0.25">
      <c r="A11" s="94"/>
      <c r="B11" s="11"/>
      <c r="C11" s="208" t="s">
        <v>143</v>
      </c>
      <c r="D11" s="12" t="s">
        <v>244</v>
      </c>
      <c r="E11" s="136" t="s">
        <v>10</v>
      </c>
      <c r="F11" s="130"/>
      <c r="G11" s="100" t="s">
        <v>592</v>
      </c>
      <c r="H11" s="169" t="s">
        <v>806</v>
      </c>
      <c r="I11" s="100" t="s">
        <v>4</v>
      </c>
      <c r="J11" s="100" t="s">
        <v>7</v>
      </c>
      <c r="K11" s="100" t="s">
        <v>9</v>
      </c>
      <c r="L11" s="26"/>
      <c r="M11" s="26"/>
      <c r="N11" s="26"/>
      <c r="O11" s="26"/>
      <c r="P11" s="49" t="s">
        <v>8</v>
      </c>
      <c r="Q11" s="49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9" t="s">
        <v>562</v>
      </c>
      <c r="AL11" s="26" t="str">
        <f t="shared" si="0"/>
        <v>Warning</v>
      </c>
      <c r="AM11" s="50">
        <v>500</v>
      </c>
      <c r="AN11" s="49" t="s">
        <v>743</v>
      </c>
      <c r="AO11" s="49"/>
      <c r="AP11" s="49" t="s">
        <v>751</v>
      </c>
      <c r="AQ11" s="101"/>
      <c r="AR11" s="26"/>
      <c r="AS11" s="26"/>
      <c r="AT11" s="26"/>
      <c r="AU11" s="49" t="s">
        <v>764</v>
      </c>
      <c r="AV11" s="49" t="s">
        <v>763</v>
      </c>
      <c r="AW11" s="49" t="s">
        <v>765</v>
      </c>
      <c r="AX11" s="26"/>
      <c r="AY11" s="136"/>
      <c r="AZ11" s="136" t="str">
        <f>VLOOKUP(E11,'H phrases'!$B$2:$C$98,2,FALSE)</f>
        <v>Flammable gas.</v>
      </c>
      <c r="BA11" s="25" t="s">
        <v>2242</v>
      </c>
      <c r="BB11" s="335"/>
      <c r="BC11" s="26"/>
      <c r="BD11" s="336" t="str">
        <f>"when a waste contains one or more substances classified as"&amp;" "&amp;E11&amp;" the wast shall be assessd for HP3, where appropriate and proportionate, according to test methods"</f>
        <v>when a waste contains one or more substances classified as H221 the wast shall be assessd for HP3, where appropriate and proportionate, according to test methods</v>
      </c>
    </row>
    <row r="12" spans="1:56" x14ac:dyDescent="0.25">
      <c r="A12" s="94"/>
      <c r="B12" s="12" t="s">
        <v>144</v>
      </c>
      <c r="C12" s="208" t="s">
        <v>145</v>
      </c>
      <c r="D12" s="12" t="s">
        <v>239</v>
      </c>
      <c r="E12" s="136" t="s">
        <v>249</v>
      </c>
      <c r="F12" s="130" t="s">
        <v>279</v>
      </c>
      <c r="G12" s="100" t="str">
        <f>IF('gevaarljike stoffen'!R24='gevaarljike stoffen'!AA74,"P3a",IF('gevaarljike stoffen'!R24='gevaarljike stoffen'!AA75,"P3b","P3a or P3b"))</f>
        <v>P3a or P3b</v>
      </c>
      <c r="H12" s="168" t="s">
        <v>235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 t="str">
        <f t="shared" si="0"/>
        <v>Danger</v>
      </c>
      <c r="AM12" s="176">
        <v>400</v>
      </c>
      <c r="AN12" s="49" t="s">
        <v>743</v>
      </c>
      <c r="AO12" s="49"/>
      <c r="AP12" s="49" t="s">
        <v>751</v>
      </c>
      <c r="AQ12" s="101"/>
      <c r="AR12" s="26"/>
      <c r="AS12" s="26"/>
      <c r="AT12" s="26"/>
      <c r="AU12" s="49" t="s">
        <v>764</v>
      </c>
      <c r="AV12" s="49" t="s">
        <v>763</v>
      </c>
      <c r="AW12" s="49" t="s">
        <v>765</v>
      </c>
      <c r="AX12" s="26"/>
      <c r="AY12" s="136"/>
      <c r="AZ12" s="136" t="str">
        <f>VLOOKUP(E12,'H phrases'!$B$2:$C$98,2,FALSE)</f>
        <v>Extremely flammable aerosol.</v>
      </c>
      <c r="BA12" s="25" t="s">
        <v>2242</v>
      </c>
      <c r="BB12" s="335"/>
      <c r="BC12" s="26"/>
      <c r="BD12" s="336" t="str">
        <f>"when a waste contains one or more substances classified as"&amp;" "&amp;E12&amp;" the wast shall be assessd for HP3, where appropriate and proportionate, according to test methods"</f>
        <v>when a waste contains one or more substances classified as H222 the wast shall be assessd for HP3, where appropriate and proportionate, according to test methods</v>
      </c>
    </row>
    <row r="13" spans="1:56" x14ac:dyDescent="0.25">
      <c r="A13" s="94"/>
      <c r="B13" s="11"/>
      <c r="C13" s="208" t="s">
        <v>146</v>
      </c>
      <c r="D13" s="12" t="s">
        <v>244</v>
      </c>
      <c r="E13" s="136" t="s">
        <v>14</v>
      </c>
      <c r="F13" s="130" t="s">
        <v>279</v>
      </c>
      <c r="G13" s="100" t="str">
        <f>IF('gevaarljike stoffen'!R24='gevaarljike stoffen'!AA74,"P3a",IF('gevaarljike stoffen'!R24='gevaarljike stoffen'!AA75,"P3b","P3a or P3b"))</f>
        <v>P3a or P3b</v>
      </c>
      <c r="H13" s="169" t="s">
        <v>806</v>
      </c>
      <c r="I13" s="100" t="s">
        <v>4</v>
      </c>
      <c r="J13" s="100" t="s">
        <v>11</v>
      </c>
      <c r="K13" s="100" t="s">
        <v>12</v>
      </c>
      <c r="L13" s="100" t="s">
        <v>13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tr">
        <f t="shared" si="0"/>
        <v>Warning</v>
      </c>
      <c r="AM13" s="176">
        <v>300</v>
      </c>
      <c r="AN13" s="49" t="s">
        <v>743</v>
      </c>
      <c r="AO13" s="49"/>
      <c r="AP13" s="49" t="s">
        <v>751</v>
      </c>
      <c r="AQ13" s="101"/>
      <c r="AR13" s="26"/>
      <c r="AS13" s="26"/>
      <c r="AT13" s="26"/>
      <c r="AU13" s="49" t="s">
        <v>764</v>
      </c>
      <c r="AV13" s="49" t="s">
        <v>763</v>
      </c>
      <c r="AW13" s="49" t="s">
        <v>765</v>
      </c>
      <c r="AX13" s="26"/>
      <c r="AY13" s="136"/>
      <c r="AZ13" s="136" t="str">
        <f>VLOOKUP(E13,'H phrases'!$B$2:$C$98,2,FALSE)</f>
        <v>Flammable aerosol.</v>
      </c>
      <c r="BA13" s="25" t="s">
        <v>2242</v>
      </c>
      <c r="BB13" s="335"/>
      <c r="BC13" s="26"/>
      <c r="BD13" s="336" t="str">
        <f>"when a waste contains one or more substances classified as"&amp;" "&amp;E13&amp;" the wast shall be assessd for HP3, where appropriate and proportionate, according to test methods"</f>
        <v>when a waste contains one or more substances classified as H223 the wast shall be assessd for HP3, where appropriate and proportionate, according to test methods</v>
      </c>
    </row>
    <row r="14" spans="1:56" x14ac:dyDescent="0.25">
      <c r="A14" s="93"/>
      <c r="B14" s="12" t="s">
        <v>147</v>
      </c>
      <c r="C14" s="208" t="s">
        <v>148</v>
      </c>
      <c r="D14" s="12" t="s">
        <v>239</v>
      </c>
      <c r="E14" s="136" t="s">
        <v>15</v>
      </c>
      <c r="F14" s="130" t="s">
        <v>280</v>
      </c>
      <c r="G14" s="100" t="s">
        <v>593</v>
      </c>
      <c r="H14" s="169" t="s">
        <v>806</v>
      </c>
      <c r="I14" s="100" t="s">
        <v>16</v>
      </c>
      <c r="J14" s="100" t="s">
        <v>17</v>
      </c>
      <c r="K14" s="100" t="s">
        <v>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49" t="s">
        <v>18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 t="str">
        <f t="shared" si="0"/>
        <v>Danger</v>
      </c>
      <c r="AM14" s="176">
        <v>400</v>
      </c>
      <c r="AN14" s="49" t="s">
        <v>743</v>
      </c>
      <c r="AO14" s="49"/>
      <c r="AP14" s="49" t="s">
        <v>751</v>
      </c>
      <c r="AQ14" s="101"/>
      <c r="AR14" s="26"/>
      <c r="AS14" s="26"/>
      <c r="AT14" s="26"/>
      <c r="AU14" s="49" t="s">
        <v>764</v>
      </c>
      <c r="AV14" s="49" t="s">
        <v>763</v>
      </c>
      <c r="AW14" s="49" t="s">
        <v>765</v>
      </c>
      <c r="AX14" s="26"/>
      <c r="AY14" s="296" t="s">
        <v>767</v>
      </c>
      <c r="AZ14" s="136" t="str">
        <f>VLOOKUP(E14,'H phrases'!$B$2:$C$98,2,FALSE)</f>
        <v>May cause or intensify fire; oxidiser.</v>
      </c>
      <c r="BA14" s="25" t="s">
        <v>2241</v>
      </c>
      <c r="BB14" s="335"/>
      <c r="BC14" s="26"/>
      <c r="BD14" s="336" t="str">
        <f>"when a waste contains one or more substances classified as"&amp;" "&amp;E14&amp;" the wast shall be assessd for HP2, where appropriate and proportionate, according to test methods"</f>
        <v>when a waste contains one or more substances classified as H270 the wast shall be assessd for HP2, where appropriate and proportionate, according to test methods</v>
      </c>
    </row>
    <row r="15" spans="1:56" x14ac:dyDescent="0.25">
      <c r="A15" s="93"/>
      <c r="B15" s="12" t="s">
        <v>149</v>
      </c>
      <c r="C15" s="208" t="s">
        <v>250</v>
      </c>
      <c r="D15" s="12" t="s">
        <v>244</v>
      </c>
      <c r="E15" s="137" t="s">
        <v>19</v>
      </c>
      <c r="F15" s="130" t="s">
        <v>281</v>
      </c>
      <c r="G15" s="100"/>
      <c r="H15" s="16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49" t="s">
        <v>20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 t="str">
        <f t="shared" si="0"/>
        <v>Warning</v>
      </c>
      <c r="AM15" s="176">
        <v>300</v>
      </c>
      <c r="AN15" s="49" t="s">
        <v>743</v>
      </c>
      <c r="AO15" s="49"/>
      <c r="AP15" s="49" t="s">
        <v>751</v>
      </c>
      <c r="AQ15" s="101"/>
      <c r="AR15" s="26"/>
      <c r="AS15" s="26"/>
      <c r="AT15" s="26"/>
      <c r="AU15" s="49"/>
      <c r="AV15" s="49" t="s">
        <v>763</v>
      </c>
      <c r="AW15" s="49" t="s">
        <v>765</v>
      </c>
      <c r="AX15" s="26"/>
      <c r="AY15" s="136"/>
      <c r="AZ15" s="136" t="str">
        <f>VLOOKUP(E15,'H phrases'!$B$2:$C$98,2,FALSE)</f>
        <v>Contains gas under pressure; may explode if heated.</v>
      </c>
      <c r="BA15" s="25"/>
      <c r="BB15" s="335"/>
      <c r="BC15" s="26"/>
      <c r="BD15" s="337"/>
    </row>
    <row r="16" spans="1:56" x14ac:dyDescent="0.25">
      <c r="A16" s="93"/>
      <c r="B16" s="12"/>
      <c r="C16" s="208" t="s">
        <v>251</v>
      </c>
      <c r="D16" s="12" t="s">
        <v>244</v>
      </c>
      <c r="E16" s="137" t="s">
        <v>19</v>
      </c>
      <c r="F16" s="130" t="s">
        <v>281</v>
      </c>
      <c r="G16" s="100"/>
      <c r="H16" s="16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49" t="s">
        <v>20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 t="str">
        <f t="shared" si="0"/>
        <v>Warning</v>
      </c>
      <c r="AM16" s="176">
        <v>300</v>
      </c>
      <c r="AN16" s="49" t="s">
        <v>743</v>
      </c>
      <c r="AO16" s="101"/>
      <c r="AP16" s="49" t="s">
        <v>751</v>
      </c>
      <c r="AQ16" s="101"/>
      <c r="AR16" s="26"/>
      <c r="AS16" s="26"/>
      <c r="AT16" s="26"/>
      <c r="AU16" s="49"/>
      <c r="AV16" s="49" t="s">
        <v>763</v>
      </c>
      <c r="AW16" s="49" t="s">
        <v>765</v>
      </c>
      <c r="AX16" s="26"/>
      <c r="AY16" s="136"/>
      <c r="AZ16" s="136" t="str">
        <f>VLOOKUP(E16,'H phrases'!$B$2:$C$98,2,FALSE)</f>
        <v>Contains gas under pressure; may explode if heated.</v>
      </c>
      <c r="BA16" s="25"/>
      <c r="BB16" s="335"/>
      <c r="BC16" s="26"/>
      <c r="BD16" s="337"/>
    </row>
    <row r="17" spans="1:56" x14ac:dyDescent="0.25">
      <c r="A17" s="93"/>
      <c r="B17" s="12"/>
      <c r="C17" s="208" t="s">
        <v>252</v>
      </c>
      <c r="D17" s="12" t="s">
        <v>244</v>
      </c>
      <c r="E17" s="137" t="s">
        <v>19</v>
      </c>
      <c r="F17" s="130" t="s">
        <v>281</v>
      </c>
      <c r="G17" s="100"/>
      <c r="H17" s="16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49" t="s">
        <v>20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 t="str">
        <f t="shared" si="0"/>
        <v>Warning</v>
      </c>
      <c r="AM17" s="176">
        <v>300</v>
      </c>
      <c r="AN17" s="49" t="s">
        <v>743</v>
      </c>
      <c r="AO17" s="101"/>
      <c r="AP17" s="49" t="s">
        <v>751</v>
      </c>
      <c r="AQ17" s="101"/>
      <c r="AR17" s="26"/>
      <c r="AS17" s="26"/>
      <c r="AT17" s="26"/>
      <c r="AU17" s="49"/>
      <c r="AV17" s="49" t="s">
        <v>763</v>
      </c>
      <c r="AW17" s="49" t="s">
        <v>765</v>
      </c>
      <c r="AX17" s="26"/>
      <c r="AY17" s="136"/>
      <c r="AZ17" s="136" t="str">
        <f>VLOOKUP(E17,'H phrases'!$B$2:$C$98,2,FALSE)</f>
        <v>Contains gas under pressure; may explode if heated.</v>
      </c>
      <c r="BA17" s="25"/>
      <c r="BB17" s="335"/>
      <c r="BC17" s="26"/>
      <c r="BD17" s="337"/>
    </row>
    <row r="18" spans="1:56" x14ac:dyDescent="0.25">
      <c r="A18" s="93"/>
      <c r="B18" s="12"/>
      <c r="C18" s="208" t="s">
        <v>253</v>
      </c>
      <c r="D18" s="12" t="s">
        <v>244</v>
      </c>
      <c r="E18" s="137" t="s">
        <v>21</v>
      </c>
      <c r="F18" s="130" t="s">
        <v>281</v>
      </c>
      <c r="G18" s="100"/>
      <c r="H18" s="167"/>
      <c r="I18" s="102" t="s">
        <v>22</v>
      </c>
      <c r="J18" s="103" t="s">
        <v>23</v>
      </c>
      <c r="K18" s="26"/>
      <c r="L18" s="26"/>
      <c r="M18" s="26"/>
      <c r="N18" s="26"/>
      <c r="O18" s="26"/>
      <c r="P18" s="49" t="s">
        <v>24</v>
      </c>
      <c r="Q18" s="26"/>
      <c r="R18" s="26"/>
      <c r="S18" s="26"/>
      <c r="T18" s="26"/>
      <c r="U18" s="26"/>
      <c r="V18" s="26"/>
      <c r="W18" s="51" t="s">
        <v>9</v>
      </c>
      <c r="X18" s="26"/>
      <c r="Y18" s="26"/>
      <c r="Z18" s="26"/>
      <c r="AA18" s="26"/>
      <c r="AB18" s="26"/>
      <c r="AC18" s="26"/>
      <c r="AD18" s="102"/>
      <c r="AE18" s="49"/>
      <c r="AF18" s="26"/>
      <c r="AG18" s="26"/>
      <c r="AH18" s="26"/>
      <c r="AI18" s="26"/>
      <c r="AJ18" s="26"/>
      <c r="AK18" s="26"/>
      <c r="AL18" s="26" t="str">
        <f t="shared" si="0"/>
        <v>Warning</v>
      </c>
      <c r="AM18" s="176">
        <v>300</v>
      </c>
      <c r="AN18" s="49" t="s">
        <v>743</v>
      </c>
      <c r="AO18" s="49"/>
      <c r="AP18" s="49" t="s">
        <v>751</v>
      </c>
      <c r="AQ18" s="101"/>
      <c r="AR18" s="26"/>
      <c r="AS18" s="26"/>
      <c r="AT18" s="26"/>
      <c r="AU18" s="49"/>
      <c r="AV18" s="49"/>
      <c r="AW18" s="26"/>
      <c r="AX18" s="26"/>
      <c r="AY18" s="136"/>
      <c r="AZ18" s="136" t="str">
        <f>VLOOKUP(E18,'H phrases'!$B$2:$C$98,2,FALSE)</f>
        <v>Contains refrigerated gas; may cause cryogenic burns or injury.</v>
      </c>
      <c r="BA18" s="25"/>
      <c r="BB18" s="335"/>
      <c r="BC18" s="26"/>
      <c r="BD18" s="337"/>
    </row>
    <row r="19" spans="1:56" x14ac:dyDescent="0.25">
      <c r="A19" s="94"/>
      <c r="B19" s="12" t="s">
        <v>150</v>
      </c>
      <c r="C19" s="208" t="s">
        <v>151</v>
      </c>
      <c r="D19" s="12" t="s">
        <v>239</v>
      </c>
      <c r="E19" s="137" t="s">
        <v>25</v>
      </c>
      <c r="F19" s="130" t="s">
        <v>279</v>
      </c>
      <c r="G19" s="100" t="s">
        <v>594</v>
      </c>
      <c r="H19" s="168" t="s">
        <v>235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49" t="s">
        <v>562</v>
      </c>
      <c r="AL19" s="26" t="str">
        <f t="shared" si="0"/>
        <v>Danger</v>
      </c>
      <c r="AM19" s="50">
        <v>500</v>
      </c>
      <c r="AN19" s="49" t="s">
        <v>743</v>
      </c>
      <c r="AO19" s="49"/>
      <c r="AP19" s="49" t="s">
        <v>751</v>
      </c>
      <c r="AQ19" s="101"/>
      <c r="AR19" s="26"/>
      <c r="AS19" s="26"/>
      <c r="AT19" s="26"/>
      <c r="AU19" s="49" t="s">
        <v>764</v>
      </c>
      <c r="AV19" s="49" t="s">
        <v>763</v>
      </c>
      <c r="AW19" s="49" t="s">
        <v>765</v>
      </c>
      <c r="AX19" s="26"/>
      <c r="AY19" s="136"/>
      <c r="AZ19" s="136" t="str">
        <f>VLOOKUP(E19,'H phrases'!$B$2:$C$98,2,FALSE)</f>
        <v>Extremely flammable liquid and vapour.</v>
      </c>
      <c r="BA19" s="25" t="s">
        <v>2242</v>
      </c>
      <c r="BB19" s="335"/>
      <c r="BC19" s="26"/>
      <c r="BD19" s="336" t="str">
        <f>"when a waste contains one or more substances classified as"&amp;" "&amp;E19&amp;" the wast shall be assessd for HP3, where appropriate and proportionate, according to test methods"</f>
        <v>when a waste contains one or more substances classified as H224 the wast shall be assessd for HP3, where appropriate and proportionate, according to test methods</v>
      </c>
    </row>
    <row r="20" spans="1:56" x14ac:dyDescent="0.25">
      <c r="A20" s="93"/>
      <c r="B20" s="11"/>
      <c r="C20" s="208" t="s">
        <v>152</v>
      </c>
      <c r="D20" s="12" t="s">
        <v>239</v>
      </c>
      <c r="E20" s="137" t="s">
        <v>33</v>
      </c>
      <c r="F20" s="130" t="s">
        <v>279</v>
      </c>
      <c r="G20" s="100" t="s">
        <v>653</v>
      </c>
      <c r="H20" s="169" t="s">
        <v>806</v>
      </c>
      <c r="I20" s="49" t="s">
        <v>4</v>
      </c>
      <c r="J20" s="104">
        <f>IF('gevaarljike stoffen'!M$13="yes","P370 + P378",0)</f>
        <v>0</v>
      </c>
      <c r="K20" s="105" t="str">
        <f>IF('gevaarljike stoffen'!M$14="yes","P403 + P235",0)</f>
        <v>P403 + P235</v>
      </c>
      <c r="L20" s="26"/>
      <c r="M20" s="26"/>
      <c r="N20" s="26"/>
      <c r="O20" s="26"/>
      <c r="P20" s="106" t="s">
        <v>26</v>
      </c>
      <c r="Q20" s="26"/>
      <c r="R20" s="26"/>
      <c r="S20" s="26"/>
      <c r="T20" s="26"/>
      <c r="U20" s="26"/>
      <c r="V20" s="26"/>
      <c r="W20" s="107" t="s">
        <v>5</v>
      </c>
      <c r="X20" s="51" t="s">
        <v>27</v>
      </c>
      <c r="Y20" s="49" t="s">
        <v>28</v>
      </c>
      <c r="Z20" s="51" t="s">
        <v>29</v>
      </c>
      <c r="AA20" s="41" t="s">
        <v>6</v>
      </c>
      <c r="AB20" s="41" t="s">
        <v>30</v>
      </c>
      <c r="AC20" s="26"/>
      <c r="AD20" s="102" t="s">
        <v>294</v>
      </c>
      <c r="AE20" s="102"/>
      <c r="AF20" s="108"/>
      <c r="AG20" s="105"/>
      <c r="AH20" s="26"/>
      <c r="AI20" s="26"/>
      <c r="AJ20" s="26"/>
      <c r="AK20" s="49" t="s">
        <v>562</v>
      </c>
      <c r="AL20" s="26" t="str">
        <f t="shared" si="0"/>
        <v>Danger</v>
      </c>
      <c r="AM20" s="50">
        <v>400</v>
      </c>
      <c r="AN20" s="49" t="s">
        <v>743</v>
      </c>
      <c r="AO20" s="49"/>
      <c r="AP20" s="49" t="s">
        <v>751</v>
      </c>
      <c r="AQ20" s="26"/>
      <c r="AR20" s="26"/>
      <c r="AS20" s="26"/>
      <c r="AT20" s="26"/>
      <c r="AU20" s="123" t="str">
        <f>IF($C$138,"G057",0)</f>
        <v>G057</v>
      </c>
      <c r="AV20" s="49" t="s">
        <v>763</v>
      </c>
      <c r="AW20" s="49" t="s">
        <v>765</v>
      </c>
      <c r="AX20" s="26"/>
      <c r="AY20" s="136"/>
      <c r="AZ20" s="136" t="str">
        <f>VLOOKUP(E20,'H phrases'!$B$2:$C$98,2,FALSE)</f>
        <v>Highly flammable liquid and vapour.</v>
      </c>
      <c r="BA20" s="25" t="s">
        <v>2242</v>
      </c>
      <c r="BB20" s="335"/>
      <c r="BC20" s="26"/>
      <c r="BD20" s="336" t="str">
        <f>"when a waste contains one or more substances classified as"&amp;" "&amp;E20&amp;" the wast shall be assessd for HP3, where appropriate and proportionate, according to test methods"</f>
        <v>when a waste contains one or more substances classified as H225 the wast shall be assessd for HP3, where appropriate and proportionate, according to test methods</v>
      </c>
    </row>
    <row r="21" spans="1:56" x14ac:dyDescent="0.25">
      <c r="A21" s="94"/>
      <c r="B21" s="11"/>
      <c r="C21" s="208" t="s">
        <v>153</v>
      </c>
      <c r="D21" s="12" t="s">
        <v>244</v>
      </c>
      <c r="E21" s="137" t="s">
        <v>34</v>
      </c>
      <c r="F21" s="130" t="s">
        <v>279</v>
      </c>
      <c r="G21" s="100" t="s">
        <v>653</v>
      </c>
      <c r="H21" s="169" t="s">
        <v>806</v>
      </c>
      <c r="I21" s="49" t="s">
        <v>4</v>
      </c>
      <c r="J21" s="104">
        <f>IF('gevaarljike stoffen'!M$13="yes","P370 + P378",0)</f>
        <v>0</v>
      </c>
      <c r="K21" s="105" t="str">
        <f>IF('gevaarljike stoffen'!M$14="yes","P403 + P235",0)</f>
        <v>P403 + P235</v>
      </c>
      <c r="L21" s="26"/>
      <c r="M21" s="26"/>
      <c r="N21" s="26"/>
      <c r="O21" s="26"/>
      <c r="P21" s="109"/>
      <c r="Q21" s="26"/>
      <c r="R21" s="26"/>
      <c r="S21" s="26"/>
      <c r="T21" s="26"/>
      <c r="U21" s="26"/>
      <c r="V21" s="26"/>
      <c r="W21" s="107" t="s">
        <v>26</v>
      </c>
      <c r="X21" s="107" t="s">
        <v>5</v>
      </c>
      <c r="Y21" s="51" t="s">
        <v>27</v>
      </c>
      <c r="Z21" s="49" t="s">
        <v>28</v>
      </c>
      <c r="AA21" s="51" t="s">
        <v>29</v>
      </c>
      <c r="AB21" s="51" t="s">
        <v>6</v>
      </c>
      <c r="AC21" s="26"/>
      <c r="AD21" s="108"/>
      <c r="AE21" s="105"/>
      <c r="AF21" s="26"/>
      <c r="AG21" s="26"/>
      <c r="AH21" s="26"/>
      <c r="AI21" s="26"/>
      <c r="AJ21" s="26"/>
      <c r="AK21" s="26"/>
      <c r="AL21" s="26" t="str">
        <f t="shared" si="0"/>
        <v>Warning</v>
      </c>
      <c r="AM21" s="176">
        <v>300</v>
      </c>
      <c r="AN21" s="49" t="s">
        <v>743</v>
      </c>
      <c r="AO21" s="49"/>
      <c r="AP21" s="49" t="s">
        <v>751</v>
      </c>
      <c r="AQ21" s="26"/>
      <c r="AR21" s="26"/>
      <c r="AS21" s="26"/>
      <c r="AT21" s="26"/>
      <c r="AU21" s="123" t="str">
        <f>IF($C$138,"G057",0)</f>
        <v>G057</v>
      </c>
      <c r="AV21" s="49" t="s">
        <v>763</v>
      </c>
      <c r="AW21" s="49" t="s">
        <v>765</v>
      </c>
      <c r="AX21" s="26"/>
      <c r="AY21" s="136"/>
      <c r="AZ21" s="136" t="str">
        <f>VLOOKUP(E21,'H phrases'!$B$2:$C$98,2,FALSE)</f>
        <v>Flammable liquid and vapour.</v>
      </c>
      <c r="BA21" s="25" t="s">
        <v>2242</v>
      </c>
      <c r="BB21" s="335"/>
      <c r="BC21" s="26"/>
      <c r="BD21" s="336" t="str">
        <f>"when a waste contains one or more substances classified as"&amp;" "&amp;E21&amp;" the wast shall be assessd for HP3, where appropriate and proportionate, according to test methods"</f>
        <v>when a waste contains one or more substances classified as H226 the wast shall be assessd for HP3, where appropriate and proportionate, according to test methods</v>
      </c>
    </row>
    <row r="22" spans="1:56" x14ac:dyDescent="0.25">
      <c r="A22" s="93"/>
      <c r="B22" s="12" t="s">
        <v>154</v>
      </c>
      <c r="C22" s="208" t="s">
        <v>155</v>
      </c>
      <c r="D22" s="12" t="s">
        <v>239</v>
      </c>
      <c r="E22" s="137" t="s">
        <v>35</v>
      </c>
      <c r="F22" s="130" t="s">
        <v>279</v>
      </c>
      <c r="G22" s="100"/>
      <c r="H22" s="169" t="s">
        <v>806</v>
      </c>
      <c r="I22" s="49" t="s">
        <v>4</v>
      </c>
      <c r="J22" s="104">
        <f>IF('gevaarljike stoffen'!M$13="yes","P370 + P378",0)</f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07" t="s">
        <v>5</v>
      </c>
      <c r="X22" s="49" t="s">
        <v>27</v>
      </c>
      <c r="Y22" s="49" t="s">
        <v>6</v>
      </c>
      <c r="Z22" s="26"/>
      <c r="AA22" s="26"/>
      <c r="AB22" s="26"/>
      <c r="AC22" s="26"/>
      <c r="AD22" s="108"/>
      <c r="AE22" s="26"/>
      <c r="AF22" s="26"/>
      <c r="AG22" s="26"/>
      <c r="AH22" s="26"/>
      <c r="AI22" s="26"/>
      <c r="AJ22" s="26"/>
      <c r="AK22" s="49" t="s">
        <v>562</v>
      </c>
      <c r="AL22" s="26" t="str">
        <f t="shared" si="0"/>
        <v>Danger</v>
      </c>
      <c r="AM22" s="50">
        <v>400</v>
      </c>
      <c r="AN22" s="49" t="s">
        <v>743</v>
      </c>
      <c r="AO22" s="49"/>
      <c r="AP22" s="49" t="s">
        <v>751</v>
      </c>
      <c r="AQ22" s="26"/>
      <c r="AR22" s="26"/>
      <c r="AS22" s="26"/>
      <c r="AT22" s="26"/>
      <c r="AU22" s="123" t="str">
        <f>IF($C$138,"G057",0)</f>
        <v>G057</v>
      </c>
      <c r="AV22" s="49" t="s">
        <v>763</v>
      </c>
      <c r="AW22" s="49" t="s">
        <v>765</v>
      </c>
      <c r="AX22" s="26"/>
      <c r="AY22" s="136"/>
      <c r="AZ22" s="136" t="str">
        <f>VLOOKUP(E22,'H phrases'!$B$2:$C$98,2,FALSE)</f>
        <v>Flammable solid.</v>
      </c>
      <c r="BA22" s="25" t="s">
        <v>2242</v>
      </c>
      <c r="BB22" s="335"/>
      <c r="BC22" s="26"/>
      <c r="BD22" s="336" t="str">
        <f>"when a waste contains one or more substances classified as"&amp;" "&amp;E22&amp;" the wast shall be assessd for HP3, where appropriate and proportionate, according to test methods"</f>
        <v>when a waste contains one or more substances classified as H228 the wast shall be assessd for HP3, where appropriate and proportionate, according to test methods</v>
      </c>
    </row>
    <row r="23" spans="1:56" x14ac:dyDescent="0.25">
      <c r="A23" s="94"/>
      <c r="B23" s="11"/>
      <c r="C23" s="208" t="s">
        <v>156</v>
      </c>
      <c r="D23" s="12" t="s">
        <v>244</v>
      </c>
      <c r="E23" s="137" t="s">
        <v>35</v>
      </c>
      <c r="F23" s="130" t="s">
        <v>279</v>
      </c>
      <c r="G23" s="100"/>
      <c r="H23" s="169" t="s">
        <v>806</v>
      </c>
      <c r="I23" s="49" t="s">
        <v>4</v>
      </c>
      <c r="J23" s="104">
        <f>IF('gevaarljike stoffen'!M$13="yes","P370 + P378",0)</f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7" t="s">
        <v>5</v>
      </c>
      <c r="X23" s="49" t="s">
        <v>27</v>
      </c>
      <c r="Y23" s="49" t="s">
        <v>6</v>
      </c>
      <c r="Z23" s="26"/>
      <c r="AA23" s="26"/>
      <c r="AB23" s="26"/>
      <c r="AC23" s="26"/>
      <c r="AD23" s="108"/>
      <c r="AE23" s="26"/>
      <c r="AF23" s="26"/>
      <c r="AG23" s="26"/>
      <c r="AH23" s="26"/>
      <c r="AI23" s="26"/>
      <c r="AJ23" s="26"/>
      <c r="AK23" s="49" t="s">
        <v>562</v>
      </c>
      <c r="AL23" s="26" t="str">
        <f t="shared" si="0"/>
        <v>Warning</v>
      </c>
      <c r="AM23" s="50">
        <v>300</v>
      </c>
      <c r="AN23" s="49" t="s">
        <v>743</v>
      </c>
      <c r="AO23" s="119"/>
      <c r="AP23" s="49" t="s">
        <v>751</v>
      </c>
      <c r="AQ23" s="26"/>
      <c r="AR23" s="26"/>
      <c r="AS23" s="26"/>
      <c r="AT23" s="26"/>
      <c r="AU23" s="123" t="str">
        <f>IF($C$138,"G057",0)</f>
        <v>G057</v>
      </c>
      <c r="AV23" s="49" t="s">
        <v>763</v>
      </c>
      <c r="AW23" s="49" t="s">
        <v>765</v>
      </c>
      <c r="AX23" s="26"/>
      <c r="AY23" s="136"/>
      <c r="AZ23" s="136" t="str">
        <f>VLOOKUP(E23,'H phrases'!$B$2:$C$98,2,FALSE)</f>
        <v>Flammable solid.</v>
      </c>
      <c r="BA23" s="25" t="s">
        <v>2242</v>
      </c>
      <c r="BB23" s="335"/>
      <c r="BC23" s="26"/>
      <c r="BD23" s="336" t="str">
        <f>"when a waste contains one or more substances classified as"&amp;" "&amp;E23&amp;" the wast shall be assessd for HP3, where appropriate and proportionate, according to test methods"</f>
        <v>when a waste contains one or more substances classified as H228 the wast shall be assessd for HP3, where appropriate and proportionate, according to test methods</v>
      </c>
    </row>
    <row r="24" spans="1:56" x14ac:dyDescent="0.25">
      <c r="A24" s="93"/>
      <c r="B24" s="12" t="s">
        <v>157</v>
      </c>
      <c r="C24" s="208" t="s">
        <v>158</v>
      </c>
      <c r="D24" s="12" t="s">
        <v>239</v>
      </c>
      <c r="E24" s="137" t="s">
        <v>36</v>
      </c>
      <c r="F24" s="130" t="s">
        <v>278</v>
      </c>
      <c r="G24" s="100" t="s">
        <v>595</v>
      </c>
      <c r="H24" s="168" t="s">
        <v>235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 t="str">
        <f t="shared" si="0"/>
        <v>Danger</v>
      </c>
      <c r="AM24" s="176">
        <v>500</v>
      </c>
      <c r="AN24" s="26"/>
      <c r="AO24" s="49" t="s">
        <v>744</v>
      </c>
      <c r="AP24" s="49" t="s">
        <v>751</v>
      </c>
      <c r="AQ24" s="49" t="s">
        <v>752</v>
      </c>
      <c r="AR24" s="26"/>
      <c r="AS24" s="26"/>
      <c r="AT24" s="26"/>
      <c r="AU24" s="49" t="s">
        <v>764</v>
      </c>
      <c r="AV24" s="49" t="s">
        <v>763</v>
      </c>
      <c r="AW24" s="49" t="s">
        <v>765</v>
      </c>
      <c r="AX24" s="26"/>
      <c r="AY24" s="136"/>
      <c r="AZ24" s="136" t="str">
        <f>VLOOKUP(E24,'H phrases'!$B$2:$C$98,2,FALSE)</f>
        <v>Heating may cause an explosion.</v>
      </c>
      <c r="BA24" s="149" t="s">
        <v>2240</v>
      </c>
      <c r="BB24" s="335"/>
      <c r="BC24" s="26"/>
      <c r="BD24" s="336" t="str">
        <f>"when a waste contains one or more substances classified as"&amp;" "&amp;E24&amp;" the wast shall be assessd for HP1, where appropriate and proportionate, according to test methods"</f>
        <v>when a waste contains one or more substances classified as H240 the wast shall be assessd for HP1, where appropriate and proportionate, according to test methods</v>
      </c>
    </row>
    <row r="25" spans="1:56" x14ac:dyDescent="0.25">
      <c r="A25" s="93"/>
      <c r="B25" s="11"/>
      <c r="C25" s="208" t="s">
        <v>159</v>
      </c>
      <c r="D25" s="12" t="s">
        <v>239</v>
      </c>
      <c r="E25" s="137" t="s">
        <v>41</v>
      </c>
      <c r="F25" s="130" t="s">
        <v>278</v>
      </c>
      <c r="G25" s="100" t="s">
        <v>595</v>
      </c>
      <c r="H25" s="168" t="s">
        <v>235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 t="str">
        <f t="shared" si="0"/>
        <v>Danger</v>
      </c>
      <c r="AM25" s="176">
        <v>500</v>
      </c>
      <c r="AN25" s="26"/>
      <c r="AO25" s="121" t="s">
        <v>744</v>
      </c>
      <c r="AP25" s="49" t="s">
        <v>751</v>
      </c>
      <c r="AQ25" s="49" t="s">
        <v>752</v>
      </c>
      <c r="AR25" s="26"/>
      <c r="AS25" s="26"/>
      <c r="AT25" s="26"/>
      <c r="AU25" s="49" t="s">
        <v>764</v>
      </c>
      <c r="AV25" s="49" t="s">
        <v>763</v>
      </c>
      <c r="AW25" s="49" t="s">
        <v>765</v>
      </c>
      <c r="AX25" s="26"/>
      <c r="AY25" s="136"/>
      <c r="AZ25" s="136" t="str">
        <f>VLOOKUP(E25,'H phrases'!$B$2:$C$98,2,FALSE)</f>
        <v>Heating may cause a fire or explosion.</v>
      </c>
      <c r="BA25" s="149" t="s">
        <v>2240</v>
      </c>
      <c r="BB25" s="335"/>
      <c r="BC25" s="26"/>
      <c r="BD25" s="336" t="str">
        <f>"when a waste contains one or more substances classified as"&amp;" "&amp;E25&amp;" the wast shall be assessd for HP1, where appropriate and proportionate, according to test methods"</f>
        <v>when a waste contains one or more substances classified as H241 the wast shall be assessd for HP1, where appropriate and proportionate, according to test methods</v>
      </c>
    </row>
    <row r="26" spans="1:56" x14ac:dyDescent="0.25">
      <c r="A26" s="94"/>
      <c r="B26" s="11"/>
      <c r="C26" s="208" t="s">
        <v>160</v>
      </c>
      <c r="D26" s="12" t="s">
        <v>239</v>
      </c>
      <c r="E26" s="137" t="s">
        <v>42</v>
      </c>
      <c r="F26" s="130" t="s">
        <v>279</v>
      </c>
      <c r="G26" s="100" t="s">
        <v>596</v>
      </c>
      <c r="H26" s="168" t="s">
        <v>235</v>
      </c>
      <c r="I26" s="49" t="s">
        <v>4</v>
      </c>
      <c r="J26" s="106" t="s">
        <v>16</v>
      </c>
      <c r="K26" s="106" t="s">
        <v>37</v>
      </c>
      <c r="L26" s="49" t="s">
        <v>6</v>
      </c>
      <c r="M26" s="104">
        <f>IF('gevaarljike stoffen'!$M$13="yes","P370 + P378",0)</f>
        <v>0</v>
      </c>
      <c r="N26" s="106" t="s">
        <v>32</v>
      </c>
      <c r="O26" s="26"/>
      <c r="P26" s="110" t="s">
        <v>40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108"/>
      <c r="AE26" s="105"/>
      <c r="AF26" s="105"/>
      <c r="AG26" s="102"/>
      <c r="AH26" s="102" t="s">
        <v>295</v>
      </c>
      <c r="AI26" s="26"/>
      <c r="AJ26" s="26"/>
      <c r="AK26" s="26"/>
      <c r="AL26" s="26" t="str">
        <f t="shared" si="0"/>
        <v>Danger</v>
      </c>
      <c r="AM26" s="176">
        <v>400</v>
      </c>
      <c r="AN26" s="49" t="s">
        <v>743</v>
      </c>
      <c r="AO26" s="49"/>
      <c r="AP26" s="49" t="s">
        <v>751</v>
      </c>
      <c r="AQ26" s="26"/>
      <c r="AR26" s="26"/>
      <c r="AS26" s="26"/>
      <c r="AT26" s="26"/>
      <c r="AU26" s="49" t="s">
        <v>764</v>
      </c>
      <c r="AV26" s="49" t="s">
        <v>763</v>
      </c>
      <c r="AW26" s="49" t="s">
        <v>765</v>
      </c>
      <c r="AX26" s="26"/>
      <c r="AY26" s="136"/>
      <c r="AZ26" s="136" t="str">
        <f>VLOOKUP(E26,'H phrases'!$B$2:$C$98,2,FALSE)</f>
        <v>Heating may cause a fire.</v>
      </c>
      <c r="BA26" s="25" t="s">
        <v>2242</v>
      </c>
      <c r="BB26" s="335"/>
      <c r="BC26" s="26"/>
      <c r="BD26" s="336" t="str">
        <f>"when a waste contains one or more substances classified as"&amp;" "&amp;E26&amp;" the wast shall be assessd for HP3, where appropriate and proportionate, according to test methods"</f>
        <v>when a waste contains one or more substances classified as H242 the wast shall be assessd for HP3, where appropriate and proportionate, according to test methods</v>
      </c>
    </row>
    <row r="27" spans="1:56" x14ac:dyDescent="0.25">
      <c r="A27" s="93"/>
      <c r="B27" s="11"/>
      <c r="C27" s="208" t="s">
        <v>161</v>
      </c>
      <c r="D27" s="12" t="s">
        <v>244</v>
      </c>
      <c r="E27" s="137" t="s">
        <v>42</v>
      </c>
      <c r="F27" s="130" t="s">
        <v>279</v>
      </c>
      <c r="G27" s="100" t="s">
        <v>596</v>
      </c>
      <c r="H27" s="168" t="s">
        <v>235</v>
      </c>
      <c r="I27" s="49" t="s">
        <v>4</v>
      </c>
      <c r="J27" s="106" t="s">
        <v>16</v>
      </c>
      <c r="K27" s="106" t="s">
        <v>37</v>
      </c>
      <c r="L27" s="49" t="s">
        <v>6</v>
      </c>
      <c r="M27" s="104">
        <f>IF('gevaarljike stoffen'!M$13="yes","P370 + P378",0)</f>
        <v>0</v>
      </c>
      <c r="N27" s="106" t="s">
        <v>32</v>
      </c>
      <c r="O27" s="26"/>
      <c r="P27" s="110" t="s">
        <v>40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108"/>
      <c r="AE27" s="105"/>
      <c r="AF27" s="105"/>
      <c r="AG27" s="102"/>
      <c r="AH27" s="102" t="s">
        <v>295</v>
      </c>
      <c r="AI27" s="26"/>
      <c r="AJ27" s="26"/>
      <c r="AK27" s="26"/>
      <c r="AL27" s="26" t="str">
        <f t="shared" si="0"/>
        <v>Warning</v>
      </c>
      <c r="AM27" s="176">
        <v>300</v>
      </c>
      <c r="AN27" s="49" t="s">
        <v>743</v>
      </c>
      <c r="AO27" s="49"/>
      <c r="AP27" s="49" t="s">
        <v>751</v>
      </c>
      <c r="AQ27" s="26"/>
      <c r="AR27" s="26"/>
      <c r="AS27" s="26"/>
      <c r="AT27" s="26"/>
      <c r="AU27" s="49" t="s">
        <v>764</v>
      </c>
      <c r="AV27" s="49" t="s">
        <v>763</v>
      </c>
      <c r="AW27" s="49" t="s">
        <v>765</v>
      </c>
      <c r="AX27" s="26"/>
      <c r="AY27" s="136"/>
      <c r="AZ27" s="136" t="str">
        <f>VLOOKUP(E27,'H phrases'!$B$2:$C$98,2,FALSE)</f>
        <v>Heating may cause a fire.</v>
      </c>
      <c r="BA27" s="25" t="s">
        <v>2242</v>
      </c>
      <c r="BB27" s="335"/>
      <c r="BC27" s="26"/>
      <c r="BD27" s="336" t="str">
        <f>"when a waste contains one or more substances classified as"&amp;" "&amp;E27&amp;" the wast shall be assessd for HP3, where appropriate and proportionate, according to test methods"</f>
        <v>when a waste contains one or more substances classified as H242 the wast shall be assessd for HP3, where appropriate and proportionate, according to test methods</v>
      </c>
    </row>
    <row r="28" spans="1:56" x14ac:dyDescent="0.25">
      <c r="A28" s="94"/>
      <c r="B28" s="11"/>
      <c r="C28" s="208" t="s">
        <v>162</v>
      </c>
      <c r="D28" s="12" t="s">
        <v>277</v>
      </c>
      <c r="E28" s="136"/>
      <c r="F28" s="130"/>
      <c r="G28" s="100"/>
      <c r="H28" s="16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176">
        <v>200</v>
      </c>
      <c r="AN28" s="26"/>
      <c r="AO28" s="26"/>
      <c r="AP28" s="26"/>
      <c r="AQ28" s="26"/>
      <c r="AR28" s="26"/>
      <c r="AS28" s="26"/>
      <c r="AT28" s="26"/>
      <c r="AU28" s="49"/>
      <c r="AV28" s="49"/>
      <c r="AW28" s="26"/>
      <c r="AX28" s="26"/>
      <c r="AY28" s="136"/>
      <c r="AZ28" s="136"/>
      <c r="BA28" s="25"/>
      <c r="BB28" s="335"/>
      <c r="BC28" s="26"/>
      <c r="BD28" s="337"/>
    </row>
    <row r="29" spans="1:56" x14ac:dyDescent="0.25">
      <c r="A29" s="94"/>
      <c r="B29" s="12" t="s">
        <v>163</v>
      </c>
      <c r="C29" s="208" t="s">
        <v>164</v>
      </c>
      <c r="D29" s="12" t="s">
        <v>239</v>
      </c>
      <c r="E29" s="137" t="s">
        <v>43</v>
      </c>
      <c r="F29" s="130" t="s">
        <v>279</v>
      </c>
      <c r="G29" s="100" t="s">
        <v>597</v>
      </c>
      <c r="H29" s="168" t="s">
        <v>235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 t="str">
        <f t="shared" si="0"/>
        <v>Danger</v>
      </c>
      <c r="AM29" s="176">
        <v>500</v>
      </c>
      <c r="AN29" s="49" t="s">
        <v>743</v>
      </c>
      <c r="AO29" s="49"/>
      <c r="AP29" s="49" t="s">
        <v>751</v>
      </c>
      <c r="AQ29" s="49" t="s">
        <v>752</v>
      </c>
      <c r="AR29" s="26"/>
      <c r="AS29" s="26"/>
      <c r="AT29" s="26"/>
      <c r="AU29" s="49"/>
      <c r="AV29" s="49" t="s">
        <v>763</v>
      </c>
      <c r="AW29" s="49" t="s">
        <v>765</v>
      </c>
      <c r="AX29" s="26"/>
      <c r="AY29" s="136"/>
      <c r="AZ29" s="136" t="str">
        <f>VLOOKUP(E29,'H phrases'!$B$2:$C$98,2,FALSE)</f>
        <v>Catches fire spontaneously if exposed to air.</v>
      </c>
      <c r="BA29" s="25" t="s">
        <v>2242</v>
      </c>
      <c r="BB29" s="335"/>
      <c r="BC29" s="26"/>
      <c r="BD29" s="336" t="str">
        <f t="shared" ref="BD29:BD35" si="1">"when a waste contains one or more substances classified as"&amp;" "&amp;E29&amp;" the wast shall be assessd for HP3, where appropriate and proportionate, according to test methods"</f>
        <v>when a waste contains one or more substances classified as H250 the wast shall be assessd for HP3, where appropriate and proportionate, according to test methods</v>
      </c>
    </row>
    <row r="30" spans="1:56" x14ac:dyDescent="0.25">
      <c r="A30" s="94"/>
      <c r="B30" s="12" t="s">
        <v>165</v>
      </c>
      <c r="C30" s="208" t="s">
        <v>166</v>
      </c>
      <c r="D30" s="12" t="s">
        <v>239</v>
      </c>
      <c r="E30" s="137" t="s">
        <v>43</v>
      </c>
      <c r="F30" s="130" t="s">
        <v>279</v>
      </c>
      <c r="G30" s="100" t="s">
        <v>597</v>
      </c>
      <c r="H30" s="168" t="s">
        <v>235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 t="str">
        <f t="shared" si="0"/>
        <v>Danger</v>
      </c>
      <c r="AM30" s="176">
        <v>500</v>
      </c>
      <c r="AN30" s="49" t="s">
        <v>743</v>
      </c>
      <c r="AO30" s="26"/>
      <c r="AP30" s="49" t="s">
        <v>751</v>
      </c>
      <c r="AQ30" s="49" t="s">
        <v>752</v>
      </c>
      <c r="AR30" s="26"/>
      <c r="AS30" s="26"/>
      <c r="AT30" s="26"/>
      <c r="AU30" s="49"/>
      <c r="AV30" s="49" t="s">
        <v>763</v>
      </c>
      <c r="AW30" s="49" t="s">
        <v>765</v>
      </c>
      <c r="AX30" s="26"/>
      <c r="AY30" s="136"/>
      <c r="AZ30" s="136" t="str">
        <f>VLOOKUP(E30,'H phrases'!$B$2:$C$98,2,FALSE)</f>
        <v>Catches fire spontaneously if exposed to air.</v>
      </c>
      <c r="BA30" s="25" t="s">
        <v>2242</v>
      </c>
      <c r="BB30" s="335"/>
      <c r="BC30" s="26"/>
      <c r="BD30" s="336" t="str">
        <f t="shared" si="1"/>
        <v>when a waste contains one or more substances classified as H250 the wast shall be assessd for HP3, where appropriate and proportionate, according to test methods</v>
      </c>
    </row>
    <row r="31" spans="1:56" x14ac:dyDescent="0.25">
      <c r="A31" s="94"/>
      <c r="B31" s="12" t="s">
        <v>167</v>
      </c>
      <c r="C31" s="208" t="s">
        <v>168</v>
      </c>
      <c r="D31" s="12" t="s">
        <v>239</v>
      </c>
      <c r="E31" s="137" t="s">
        <v>48</v>
      </c>
      <c r="F31" s="130" t="s">
        <v>279</v>
      </c>
      <c r="G31" s="100"/>
      <c r="H31" s="168" t="s">
        <v>235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 t="str">
        <f t="shared" si="0"/>
        <v>Danger</v>
      </c>
      <c r="AM31" s="176">
        <v>400</v>
      </c>
      <c r="AN31" s="49" t="s">
        <v>743</v>
      </c>
      <c r="AO31" s="26"/>
      <c r="AP31" s="49" t="s">
        <v>751</v>
      </c>
      <c r="AQ31" s="26"/>
      <c r="AR31" s="26"/>
      <c r="AS31" s="26"/>
      <c r="AT31" s="26"/>
      <c r="AU31" s="49"/>
      <c r="AV31" s="49" t="s">
        <v>763</v>
      </c>
      <c r="AW31" s="49" t="s">
        <v>765</v>
      </c>
      <c r="AX31" s="26"/>
      <c r="AY31" s="136"/>
      <c r="AZ31" s="136" t="str">
        <f>VLOOKUP(E31,'H phrases'!$B$2:$C$98,2,FALSE)</f>
        <v>Self-heating: may catch fire.</v>
      </c>
      <c r="BA31" s="25" t="s">
        <v>2242</v>
      </c>
      <c r="BB31" s="335"/>
      <c r="BC31" s="26"/>
      <c r="BD31" s="336" t="str">
        <f t="shared" si="1"/>
        <v>when a waste contains one or more substances classified as H251 the wast shall be assessd for HP3, where appropriate and proportionate, according to test methods</v>
      </c>
    </row>
    <row r="32" spans="1:56" x14ac:dyDescent="0.25">
      <c r="A32" s="94"/>
      <c r="B32" s="11"/>
      <c r="C32" s="208" t="s">
        <v>169</v>
      </c>
      <c r="D32" s="12" t="s">
        <v>244</v>
      </c>
      <c r="E32" s="137" t="s">
        <v>52</v>
      </c>
      <c r="F32" s="130" t="s">
        <v>279</v>
      </c>
      <c r="G32" s="100"/>
      <c r="H32" s="168"/>
      <c r="I32" s="49" t="s">
        <v>50</v>
      </c>
      <c r="J32" s="106" t="s">
        <v>49</v>
      </c>
      <c r="K32" s="26"/>
      <c r="L32" s="26"/>
      <c r="M32" s="26"/>
      <c r="N32" s="26"/>
      <c r="O32" s="26"/>
      <c r="P32" s="110" t="s">
        <v>40</v>
      </c>
      <c r="Q32" s="105"/>
      <c r="R32" s="26"/>
      <c r="S32" s="26"/>
      <c r="T32" s="26"/>
      <c r="U32" s="26"/>
      <c r="V32" s="26"/>
      <c r="W32" s="49" t="s">
        <v>6</v>
      </c>
      <c r="X32" s="26"/>
      <c r="Y32" s="26"/>
      <c r="Z32" s="26"/>
      <c r="AA32" s="26"/>
      <c r="AB32" s="26"/>
      <c r="AC32" s="26"/>
      <c r="AD32" s="102"/>
      <c r="AE32" s="102" t="s">
        <v>295</v>
      </c>
      <c r="AF32" s="108"/>
      <c r="AG32" s="108"/>
      <c r="AH32" s="108"/>
      <c r="AI32" s="26"/>
      <c r="AJ32" s="26"/>
      <c r="AK32" s="26"/>
      <c r="AL32" s="26" t="str">
        <f t="shared" si="0"/>
        <v>Warning</v>
      </c>
      <c r="AM32" s="176">
        <v>300</v>
      </c>
      <c r="AN32" s="49" t="s">
        <v>743</v>
      </c>
      <c r="AO32" s="26"/>
      <c r="AP32" s="49" t="s">
        <v>751</v>
      </c>
      <c r="AQ32" s="26"/>
      <c r="AR32" s="26"/>
      <c r="AS32" s="26"/>
      <c r="AT32" s="26"/>
      <c r="AU32" s="49"/>
      <c r="AV32" s="49" t="s">
        <v>763</v>
      </c>
      <c r="AW32" s="49" t="s">
        <v>765</v>
      </c>
      <c r="AX32" s="26"/>
      <c r="AY32" s="136"/>
      <c r="AZ32" s="136" t="str">
        <f>VLOOKUP(E32,'H phrases'!$B$2:$C$98,2,FALSE)</f>
        <v>Self-heating in large quantities; may catch fire.</v>
      </c>
      <c r="BA32" s="25" t="s">
        <v>2242</v>
      </c>
      <c r="BB32" s="335"/>
      <c r="BC32" s="26"/>
      <c r="BD32" s="336" t="str">
        <f t="shared" si="1"/>
        <v>when a waste contains one or more substances classified as H252 the wast shall be assessd for HP3, where appropriate and proportionate, according to test methods</v>
      </c>
    </row>
    <row r="33" spans="1:56" x14ac:dyDescent="0.25">
      <c r="A33" s="93"/>
      <c r="B33" s="12" t="s">
        <v>170</v>
      </c>
      <c r="C33" s="208" t="s">
        <v>171</v>
      </c>
      <c r="D33" s="12" t="s">
        <v>239</v>
      </c>
      <c r="E33" s="137" t="s">
        <v>53</v>
      </c>
      <c r="F33" s="130" t="s">
        <v>279</v>
      </c>
      <c r="G33" s="100" t="s">
        <v>601</v>
      </c>
      <c r="H33" s="168" t="s">
        <v>235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 t="str">
        <f t="shared" si="0"/>
        <v>Danger</v>
      </c>
      <c r="AM33" s="176">
        <v>500</v>
      </c>
      <c r="AN33" s="49" t="s">
        <v>743</v>
      </c>
      <c r="AO33" s="26"/>
      <c r="AP33" s="49" t="s">
        <v>751</v>
      </c>
      <c r="AQ33" s="26"/>
      <c r="AR33" s="26"/>
      <c r="AS33" s="26"/>
      <c r="AT33" s="26"/>
      <c r="AU33" s="49"/>
      <c r="AV33" s="49" t="s">
        <v>763</v>
      </c>
      <c r="AW33" s="49" t="s">
        <v>765</v>
      </c>
      <c r="AX33" s="49" t="s">
        <v>766</v>
      </c>
      <c r="AY33" s="296" t="s">
        <v>767</v>
      </c>
      <c r="AZ33" s="136" t="str">
        <f>VLOOKUP(E33,'H phrases'!$B$2:$C$98,2,FALSE)</f>
        <v>In contact with water releases flammable gases which may ignite spontaneously.</v>
      </c>
      <c r="BA33" s="25" t="s">
        <v>2242</v>
      </c>
      <c r="BB33" s="335"/>
      <c r="BC33" s="26"/>
      <c r="BD33" s="336" t="str">
        <f t="shared" si="1"/>
        <v>when a waste contains one or more substances classified as H260 the wast shall be assessd for HP3, where appropriate and proportionate, according to test methods</v>
      </c>
    </row>
    <row r="34" spans="1:56" x14ac:dyDescent="0.25">
      <c r="A34" s="94"/>
      <c r="B34" s="11"/>
      <c r="C34" s="208" t="s">
        <v>172</v>
      </c>
      <c r="D34" s="12" t="s">
        <v>239</v>
      </c>
      <c r="E34" s="137" t="s">
        <v>57</v>
      </c>
      <c r="F34" s="130" t="s">
        <v>279</v>
      </c>
      <c r="G34" s="100"/>
      <c r="H34" s="168" t="s">
        <v>235</v>
      </c>
      <c r="I34" s="102" t="s">
        <v>55</v>
      </c>
      <c r="J34" s="103" t="s">
        <v>47</v>
      </c>
      <c r="K34" s="104">
        <f>IF('gevaarljike stoffen'!$M$13="yes","P370 + P378",0)</f>
        <v>0</v>
      </c>
      <c r="L34" s="26"/>
      <c r="M34" s="26"/>
      <c r="N34" s="26"/>
      <c r="O34" s="26"/>
      <c r="P34" s="49" t="s">
        <v>6</v>
      </c>
      <c r="Q34" s="105" t="s">
        <v>56</v>
      </c>
      <c r="R34" s="26"/>
      <c r="S34" s="26"/>
      <c r="T34" s="26"/>
      <c r="U34" s="26"/>
      <c r="V34" s="26"/>
      <c r="W34" s="49" t="s">
        <v>54</v>
      </c>
      <c r="X34" s="26"/>
      <c r="Y34" s="26"/>
      <c r="Z34" s="26"/>
      <c r="AA34" s="26"/>
      <c r="AB34" s="26"/>
      <c r="AC34" s="26"/>
      <c r="AD34" s="102"/>
      <c r="AE34" s="108"/>
      <c r="AF34" s="105" t="s">
        <v>298</v>
      </c>
      <c r="AG34" s="26"/>
      <c r="AH34" s="26"/>
      <c r="AI34" s="26"/>
      <c r="AJ34" s="26"/>
      <c r="AK34" s="26"/>
      <c r="AL34" s="26" t="str">
        <f t="shared" si="0"/>
        <v>Danger</v>
      </c>
      <c r="AM34" s="176">
        <v>400</v>
      </c>
      <c r="AN34" s="49" t="s">
        <v>743</v>
      </c>
      <c r="AO34" s="26"/>
      <c r="AP34" s="49" t="s">
        <v>751</v>
      </c>
      <c r="AQ34" s="26"/>
      <c r="AR34" s="26"/>
      <c r="AS34" s="26"/>
      <c r="AT34" s="26"/>
      <c r="AU34" s="49"/>
      <c r="AV34" s="49" t="s">
        <v>763</v>
      </c>
      <c r="AW34" s="49" t="s">
        <v>765</v>
      </c>
      <c r="AX34" s="49" t="s">
        <v>766</v>
      </c>
      <c r="AY34" s="296" t="s">
        <v>767</v>
      </c>
      <c r="AZ34" s="136" t="str">
        <f>VLOOKUP(E34,'H phrases'!$B$2:$C$98,2,FALSE)</f>
        <v>In contact with water releases flammable gases.</v>
      </c>
      <c r="BA34" s="25" t="s">
        <v>2242</v>
      </c>
      <c r="BB34" s="335"/>
      <c r="BC34" s="26"/>
      <c r="BD34" s="336" t="str">
        <f t="shared" si="1"/>
        <v>when a waste contains one or more substances classified as H261 the wast shall be assessd for HP3, where appropriate and proportionate, according to test methods</v>
      </c>
    </row>
    <row r="35" spans="1:56" x14ac:dyDescent="0.25">
      <c r="A35" s="93"/>
      <c r="B35" s="11"/>
      <c r="C35" s="208" t="s">
        <v>173</v>
      </c>
      <c r="D35" s="12" t="s">
        <v>244</v>
      </c>
      <c r="E35" s="137" t="s">
        <v>57</v>
      </c>
      <c r="F35" s="130" t="s">
        <v>279</v>
      </c>
      <c r="G35" s="100"/>
      <c r="H35" s="168" t="s">
        <v>235</v>
      </c>
      <c r="I35" s="102" t="s">
        <v>55</v>
      </c>
      <c r="J35" s="104">
        <f>IF('gevaarljike stoffen'!$M$13="yes","P370 + P378",0)</f>
        <v>0</v>
      </c>
      <c r="K35" s="104"/>
      <c r="L35" s="26"/>
      <c r="M35" s="26"/>
      <c r="N35" s="26"/>
      <c r="O35" s="26"/>
      <c r="P35" s="105" t="s">
        <v>56</v>
      </c>
      <c r="Q35" s="105"/>
      <c r="R35" s="26"/>
      <c r="S35" s="26"/>
      <c r="T35" s="26"/>
      <c r="U35" s="26"/>
      <c r="V35" s="26"/>
      <c r="W35" s="49"/>
      <c r="X35" s="26"/>
      <c r="Y35" s="26"/>
      <c r="Z35" s="26"/>
      <c r="AA35" s="26"/>
      <c r="AB35" s="26"/>
      <c r="AC35" s="26"/>
      <c r="AD35" s="102"/>
      <c r="AE35" s="108"/>
      <c r="AF35" s="105" t="s">
        <v>298</v>
      </c>
      <c r="AG35" s="26"/>
      <c r="AH35" s="26"/>
      <c r="AI35" s="26"/>
      <c r="AJ35" s="26"/>
      <c r="AK35" s="26"/>
      <c r="AL35" s="26" t="str">
        <f t="shared" si="0"/>
        <v>Warning</v>
      </c>
      <c r="AM35" s="176">
        <v>300</v>
      </c>
      <c r="AN35" s="49" t="s">
        <v>743</v>
      </c>
      <c r="AO35" s="26"/>
      <c r="AP35" s="49" t="s">
        <v>751</v>
      </c>
      <c r="AQ35" s="26"/>
      <c r="AR35" s="26"/>
      <c r="AS35" s="26"/>
      <c r="AT35" s="26"/>
      <c r="AU35" s="49"/>
      <c r="AV35" s="49" t="s">
        <v>763</v>
      </c>
      <c r="AW35" s="49" t="s">
        <v>765</v>
      </c>
      <c r="AX35" s="49" t="s">
        <v>766</v>
      </c>
      <c r="AY35" s="296" t="s">
        <v>767</v>
      </c>
      <c r="AZ35" s="136" t="str">
        <f>VLOOKUP(E35,'H phrases'!$B$2:$C$98,2,FALSE)</f>
        <v>In contact with water releases flammable gases.</v>
      </c>
      <c r="BA35" s="25" t="s">
        <v>2242</v>
      </c>
      <c r="BB35" s="335"/>
      <c r="BC35" s="26"/>
      <c r="BD35" s="336" t="str">
        <f t="shared" si="1"/>
        <v>when a waste contains one or more substances classified as H261 the wast shall be assessd for HP3, where appropriate and proportionate, according to test methods</v>
      </c>
    </row>
    <row r="36" spans="1:56" x14ac:dyDescent="0.25">
      <c r="A36" s="94"/>
      <c r="B36" s="12" t="s">
        <v>174</v>
      </c>
      <c r="C36" s="208" t="s">
        <v>175</v>
      </c>
      <c r="D36" s="12" t="s">
        <v>239</v>
      </c>
      <c r="E36" s="137" t="s">
        <v>58</v>
      </c>
      <c r="F36" s="130" t="s">
        <v>280</v>
      </c>
      <c r="G36" s="100" t="s">
        <v>598</v>
      </c>
      <c r="H36" s="169" t="s">
        <v>806</v>
      </c>
      <c r="I36" s="49" t="s">
        <v>4</v>
      </c>
      <c r="J36" s="103" t="s">
        <v>59</v>
      </c>
      <c r="K36" s="103" t="s">
        <v>62</v>
      </c>
      <c r="L36" s="104">
        <f>IF('gevaarljike stoffen'!$M$13="yes","P370 + P378",0)</f>
        <v>0</v>
      </c>
      <c r="M36" s="49"/>
      <c r="N36" s="26"/>
      <c r="O36" s="26"/>
      <c r="P36" s="49" t="s">
        <v>299</v>
      </c>
      <c r="Q36" s="49" t="s">
        <v>6</v>
      </c>
      <c r="R36" s="49" t="s">
        <v>60</v>
      </c>
      <c r="S36" s="26"/>
      <c r="T36" s="26"/>
      <c r="U36" s="26"/>
      <c r="V36" s="26"/>
      <c r="W36" s="49" t="s">
        <v>16</v>
      </c>
      <c r="X36" s="26"/>
      <c r="Y36" s="26"/>
      <c r="Z36" s="26"/>
      <c r="AA36" s="26"/>
      <c r="AB36" s="26"/>
      <c r="AC36" s="26"/>
      <c r="AD36" s="108"/>
      <c r="AE36" s="26"/>
      <c r="AF36" s="26"/>
      <c r="AG36" s="26"/>
      <c r="AH36" s="26"/>
      <c r="AI36" s="26"/>
      <c r="AJ36" s="26"/>
      <c r="AK36" s="26"/>
      <c r="AL36" s="26" t="str">
        <f t="shared" si="0"/>
        <v>Danger</v>
      </c>
      <c r="AM36" s="176">
        <v>500</v>
      </c>
      <c r="AN36" s="49" t="s">
        <v>743</v>
      </c>
      <c r="AO36" s="26"/>
      <c r="AP36" s="49" t="s">
        <v>751</v>
      </c>
      <c r="AQ36" s="49" t="s">
        <v>752</v>
      </c>
      <c r="AR36" s="26"/>
      <c r="AS36" s="26"/>
      <c r="AT36" s="26"/>
      <c r="AU36" s="49"/>
      <c r="AV36" s="49" t="s">
        <v>763</v>
      </c>
      <c r="AW36" s="49" t="s">
        <v>765</v>
      </c>
      <c r="AX36" s="26"/>
      <c r="AY36" s="296" t="s">
        <v>767</v>
      </c>
      <c r="AZ36" s="136" t="str">
        <f>VLOOKUP(E36,'H phrases'!$B$2:$C$98,2,FALSE)</f>
        <v>May cause fire or explosion; strong oxidiser.</v>
      </c>
      <c r="BA36" s="25" t="s">
        <v>2241</v>
      </c>
      <c r="BB36" s="335"/>
      <c r="BC36" s="26"/>
      <c r="BD36" s="336" t="str">
        <f t="shared" ref="BD36:BD41" si="2">"when a waste contains one or more substances classified as"&amp;" "&amp;E36&amp;" the wast shall be assessd for HP2, where appropriate and proportionate, according to test methods"</f>
        <v>when a waste contains one or more substances classified as H271 the wast shall be assessd for HP2, where appropriate and proportionate, according to test methods</v>
      </c>
    </row>
    <row r="37" spans="1:56" x14ac:dyDescent="0.25">
      <c r="A37" s="93"/>
      <c r="B37" s="11"/>
      <c r="C37" s="208" t="s">
        <v>176</v>
      </c>
      <c r="D37" s="12" t="s">
        <v>239</v>
      </c>
      <c r="E37" s="137" t="s">
        <v>63</v>
      </c>
      <c r="F37" s="130" t="s">
        <v>280</v>
      </c>
      <c r="G37" s="100" t="s">
        <v>598</v>
      </c>
      <c r="H37" s="169" t="s">
        <v>806</v>
      </c>
      <c r="I37" s="49" t="s">
        <v>4</v>
      </c>
      <c r="J37" s="103" t="s">
        <v>59</v>
      </c>
      <c r="K37" s="104">
        <f>IF('gevaarljike stoffen'!$M$13="yes","P370 + P378",0)</f>
        <v>0</v>
      </c>
      <c r="L37" s="26"/>
      <c r="M37" s="26"/>
      <c r="N37" s="26"/>
      <c r="O37" s="26"/>
      <c r="P37" s="49" t="s">
        <v>6</v>
      </c>
      <c r="Q37" s="26"/>
      <c r="R37" s="26"/>
      <c r="S37" s="26"/>
      <c r="T37" s="26"/>
      <c r="U37" s="26"/>
      <c r="V37" s="26"/>
      <c r="W37" s="49" t="s">
        <v>16</v>
      </c>
      <c r="X37" s="26"/>
      <c r="Y37" s="26"/>
      <c r="Z37" s="26"/>
      <c r="AA37" s="26"/>
      <c r="AB37" s="26"/>
      <c r="AC37" s="26"/>
      <c r="AD37" s="108"/>
      <c r="AE37" s="26"/>
      <c r="AF37" s="26"/>
      <c r="AG37" s="26"/>
      <c r="AH37" s="26"/>
      <c r="AI37" s="26"/>
      <c r="AJ37" s="26"/>
      <c r="AK37" s="26"/>
      <c r="AL37" s="26" t="str">
        <f t="shared" si="0"/>
        <v>Danger</v>
      </c>
      <c r="AM37" s="176">
        <v>400</v>
      </c>
      <c r="AN37" s="49" t="s">
        <v>743</v>
      </c>
      <c r="AO37" s="26"/>
      <c r="AP37" s="49" t="s">
        <v>751</v>
      </c>
      <c r="AQ37" s="26"/>
      <c r="AR37" s="26"/>
      <c r="AS37" s="26"/>
      <c r="AT37" s="26"/>
      <c r="AU37" s="49"/>
      <c r="AV37" s="49" t="s">
        <v>763</v>
      </c>
      <c r="AW37" s="49" t="s">
        <v>765</v>
      </c>
      <c r="AX37" s="26"/>
      <c r="AY37" s="296" t="s">
        <v>767</v>
      </c>
      <c r="AZ37" s="136" t="str">
        <f>VLOOKUP(E37,'H phrases'!$B$2:$C$98,2,FALSE)</f>
        <v>May intensify fire; oxidiser.</v>
      </c>
      <c r="BA37" s="25" t="s">
        <v>2241</v>
      </c>
      <c r="BB37" s="335"/>
      <c r="BC37" s="26"/>
      <c r="BD37" s="336" t="str">
        <f t="shared" si="2"/>
        <v>when a waste contains one or more substances classified as H272 the wast shall be assessd for HP2, where appropriate and proportionate, according to test methods</v>
      </c>
    </row>
    <row r="38" spans="1:56" x14ac:dyDescent="0.25">
      <c r="A38" s="94"/>
      <c r="B38" s="11"/>
      <c r="C38" s="208" t="s">
        <v>177</v>
      </c>
      <c r="D38" s="12" t="s">
        <v>244</v>
      </c>
      <c r="E38" s="137" t="s">
        <v>63</v>
      </c>
      <c r="F38" s="130" t="s">
        <v>280</v>
      </c>
      <c r="G38" s="100" t="s">
        <v>598</v>
      </c>
      <c r="H38" s="169" t="s">
        <v>806</v>
      </c>
      <c r="I38" s="49" t="s">
        <v>4</v>
      </c>
      <c r="J38" s="103" t="s">
        <v>59</v>
      </c>
      <c r="K38" s="104">
        <f>IF('gevaarljike stoffen'!$M$13="yes","P370 + P378",0)</f>
        <v>0</v>
      </c>
      <c r="L38" s="26"/>
      <c r="M38" s="26"/>
      <c r="N38" s="26"/>
      <c r="O38" s="26"/>
      <c r="P38" s="49" t="s">
        <v>6</v>
      </c>
      <c r="Q38" s="26"/>
      <c r="R38" s="26"/>
      <c r="S38" s="26"/>
      <c r="T38" s="26"/>
      <c r="U38" s="26"/>
      <c r="V38" s="26"/>
      <c r="W38" s="49" t="s">
        <v>16</v>
      </c>
      <c r="X38" s="26"/>
      <c r="Y38" s="26"/>
      <c r="Z38" s="26"/>
      <c r="AA38" s="26"/>
      <c r="AB38" s="26"/>
      <c r="AC38" s="26"/>
      <c r="AD38" s="108"/>
      <c r="AE38" s="26"/>
      <c r="AF38" s="26"/>
      <c r="AG38" s="26"/>
      <c r="AH38" s="26"/>
      <c r="AI38" s="26"/>
      <c r="AJ38" s="26"/>
      <c r="AK38" s="26"/>
      <c r="AL38" s="26" t="str">
        <f t="shared" si="0"/>
        <v>Warning</v>
      </c>
      <c r="AM38" s="176">
        <v>300</v>
      </c>
      <c r="AN38" s="49" t="s">
        <v>743</v>
      </c>
      <c r="AO38" s="26"/>
      <c r="AP38" s="49" t="s">
        <v>751</v>
      </c>
      <c r="AQ38" s="26"/>
      <c r="AR38" s="26"/>
      <c r="AS38" s="26"/>
      <c r="AT38" s="26"/>
      <c r="AU38" s="49"/>
      <c r="AV38" s="49" t="s">
        <v>763</v>
      </c>
      <c r="AW38" s="49" t="s">
        <v>765</v>
      </c>
      <c r="AX38" s="26"/>
      <c r="AY38" s="296" t="s">
        <v>767</v>
      </c>
      <c r="AZ38" s="136" t="str">
        <f>VLOOKUP(E38,'H phrases'!$B$2:$C$98,2,FALSE)</f>
        <v>May intensify fire; oxidiser.</v>
      </c>
      <c r="BA38" s="25" t="s">
        <v>2241</v>
      </c>
      <c r="BB38" s="335"/>
      <c r="BC38" s="26"/>
      <c r="BD38" s="336" t="str">
        <f t="shared" si="2"/>
        <v>when a waste contains one or more substances classified as H272 the wast shall be assessd for HP2, where appropriate and proportionate, according to test methods</v>
      </c>
    </row>
    <row r="39" spans="1:56" x14ac:dyDescent="0.25">
      <c r="A39" s="93"/>
      <c r="B39" s="12" t="s">
        <v>178</v>
      </c>
      <c r="C39" s="208" t="s">
        <v>179</v>
      </c>
      <c r="D39" s="12" t="s">
        <v>239</v>
      </c>
      <c r="E39" s="137" t="s">
        <v>58</v>
      </c>
      <c r="F39" s="130" t="s">
        <v>280</v>
      </c>
      <c r="G39" s="100" t="s">
        <v>598</v>
      </c>
      <c r="H39" s="169" t="s">
        <v>806</v>
      </c>
      <c r="I39" s="49" t="s">
        <v>4</v>
      </c>
      <c r="J39" s="103" t="s">
        <v>59</v>
      </c>
      <c r="K39" s="106" t="s">
        <v>2229</v>
      </c>
      <c r="L39" s="104">
        <f>IF('gevaarljike stoffen'!$M$13="yes","P370 + P378",0)</f>
        <v>0</v>
      </c>
      <c r="M39" s="26"/>
      <c r="N39" s="26"/>
      <c r="O39" s="26"/>
      <c r="P39" s="49" t="s">
        <v>6</v>
      </c>
      <c r="Q39" s="49" t="s">
        <v>60</v>
      </c>
      <c r="R39" s="49" t="s">
        <v>299</v>
      </c>
      <c r="S39" s="26"/>
      <c r="T39" s="26"/>
      <c r="U39" s="26"/>
      <c r="V39" s="26"/>
      <c r="W39" s="49" t="s">
        <v>16</v>
      </c>
      <c r="X39" s="26"/>
      <c r="Y39" s="26"/>
      <c r="Z39" s="26"/>
      <c r="AA39" s="26"/>
      <c r="AB39" s="26"/>
      <c r="AC39" s="26"/>
      <c r="AD39" s="108"/>
      <c r="AE39" s="26"/>
      <c r="AF39" s="26"/>
      <c r="AG39" s="26"/>
      <c r="AH39" s="26"/>
      <c r="AI39" s="26"/>
      <c r="AJ39" s="26"/>
      <c r="AK39" s="26"/>
      <c r="AL39" s="26" t="str">
        <f t="shared" si="0"/>
        <v>Danger</v>
      </c>
      <c r="AM39" s="176">
        <v>500</v>
      </c>
      <c r="AN39" s="49" t="s">
        <v>743</v>
      </c>
      <c r="AO39" s="26"/>
      <c r="AP39" s="49" t="s">
        <v>751</v>
      </c>
      <c r="AQ39" s="26"/>
      <c r="AR39" s="26"/>
      <c r="AS39" s="26"/>
      <c r="AT39" s="26"/>
      <c r="AU39" s="49"/>
      <c r="AV39" s="49" t="s">
        <v>763</v>
      </c>
      <c r="AW39" s="49" t="s">
        <v>765</v>
      </c>
      <c r="AX39" s="26"/>
      <c r="AY39" s="296" t="s">
        <v>767</v>
      </c>
      <c r="AZ39" s="136" t="str">
        <f>VLOOKUP(E39,'H phrases'!$B$2:$C$98,2,FALSE)</f>
        <v>May cause fire or explosion; strong oxidiser.</v>
      </c>
      <c r="BA39" s="25" t="s">
        <v>2241</v>
      </c>
      <c r="BB39" s="335"/>
      <c r="BC39" s="26"/>
      <c r="BD39" s="336" t="str">
        <f t="shared" si="2"/>
        <v>when a waste contains one or more substances classified as H271 the wast shall be assessd for HP2, where appropriate and proportionate, according to test methods</v>
      </c>
    </row>
    <row r="40" spans="1:56" x14ac:dyDescent="0.25">
      <c r="A40" s="94"/>
      <c r="B40" s="11"/>
      <c r="C40" s="208" t="s">
        <v>180</v>
      </c>
      <c r="D40" s="12" t="s">
        <v>239</v>
      </c>
      <c r="E40" s="137" t="s">
        <v>63</v>
      </c>
      <c r="F40" s="130" t="s">
        <v>280</v>
      </c>
      <c r="G40" s="100" t="s">
        <v>598</v>
      </c>
      <c r="H40" s="169" t="s">
        <v>806</v>
      </c>
      <c r="I40" s="49" t="s">
        <v>4</v>
      </c>
      <c r="J40" s="103" t="s">
        <v>59</v>
      </c>
      <c r="K40" s="106" t="s">
        <v>6</v>
      </c>
      <c r="L40" s="104">
        <f>IF('gevaarljike stoffen'!$M$13="yes","P370 + P378",0)</f>
        <v>0</v>
      </c>
      <c r="M40" s="26"/>
      <c r="N40" s="26"/>
      <c r="O40" s="26"/>
      <c r="P40" s="49" t="s">
        <v>60</v>
      </c>
      <c r="Q40" s="26"/>
      <c r="R40" s="26"/>
      <c r="S40" s="26"/>
      <c r="T40" s="26"/>
      <c r="U40" s="26"/>
      <c r="V40" s="26"/>
      <c r="W40" s="51" t="s">
        <v>16</v>
      </c>
      <c r="X40" s="26"/>
      <c r="Y40" s="26"/>
      <c r="Z40" s="26"/>
      <c r="AA40" s="26"/>
      <c r="AB40" s="26"/>
      <c r="AC40" s="26"/>
      <c r="AD40" s="108"/>
      <c r="AE40" s="26"/>
      <c r="AF40" s="26"/>
      <c r="AG40" s="26"/>
      <c r="AH40" s="26"/>
      <c r="AI40" s="26"/>
      <c r="AJ40" s="26"/>
      <c r="AK40" s="26"/>
      <c r="AL40" s="26" t="str">
        <f t="shared" si="0"/>
        <v>Danger</v>
      </c>
      <c r="AM40" s="176">
        <v>400</v>
      </c>
      <c r="AN40" s="49" t="s">
        <v>743</v>
      </c>
      <c r="AO40" s="26"/>
      <c r="AP40" s="49" t="s">
        <v>751</v>
      </c>
      <c r="AQ40" s="26"/>
      <c r="AR40" s="26"/>
      <c r="AS40" s="26"/>
      <c r="AT40" s="26"/>
      <c r="AU40" s="49"/>
      <c r="AV40" s="49" t="s">
        <v>763</v>
      </c>
      <c r="AW40" s="49" t="s">
        <v>765</v>
      </c>
      <c r="AX40" s="26"/>
      <c r="AY40" s="296" t="s">
        <v>767</v>
      </c>
      <c r="AZ40" s="136" t="str">
        <f>VLOOKUP(E40,'H phrases'!$B$2:$C$98,2,FALSE)</f>
        <v>May intensify fire; oxidiser.</v>
      </c>
      <c r="BA40" s="25" t="s">
        <v>2241</v>
      </c>
      <c r="BB40" s="335"/>
      <c r="BC40" s="26"/>
      <c r="BD40" s="336" t="str">
        <f t="shared" si="2"/>
        <v>when a waste contains one or more substances classified as H272 the wast shall be assessd for HP2, where appropriate and proportionate, according to test methods</v>
      </c>
    </row>
    <row r="41" spans="1:56" x14ac:dyDescent="0.25">
      <c r="A41" s="94"/>
      <c r="B41" s="11"/>
      <c r="C41" s="208" t="s">
        <v>181</v>
      </c>
      <c r="D41" s="12" t="s">
        <v>244</v>
      </c>
      <c r="E41" s="137" t="s">
        <v>63</v>
      </c>
      <c r="F41" s="130" t="s">
        <v>280</v>
      </c>
      <c r="G41" s="100" t="s">
        <v>598</v>
      </c>
      <c r="H41" s="169" t="s">
        <v>806</v>
      </c>
      <c r="I41" s="49" t="s">
        <v>4</v>
      </c>
      <c r="J41" s="103" t="s">
        <v>59</v>
      </c>
      <c r="K41" s="106" t="s">
        <v>6</v>
      </c>
      <c r="L41" s="104">
        <f>IF('gevaarljike stoffen'!$M$13="yes","P370 + P378",0)</f>
        <v>0</v>
      </c>
      <c r="M41" s="26"/>
      <c r="N41" s="26"/>
      <c r="O41" s="26"/>
      <c r="P41" s="49" t="s">
        <v>60</v>
      </c>
      <c r="Q41" s="26"/>
      <c r="R41" s="26"/>
      <c r="S41" s="26"/>
      <c r="T41" s="26"/>
      <c r="U41" s="26"/>
      <c r="V41" s="26"/>
      <c r="W41" s="51" t="s">
        <v>16</v>
      </c>
      <c r="X41" s="26"/>
      <c r="Y41" s="26"/>
      <c r="Z41" s="26"/>
      <c r="AA41" s="26"/>
      <c r="AB41" s="26"/>
      <c r="AC41" s="26"/>
      <c r="AD41" s="108"/>
      <c r="AE41" s="26"/>
      <c r="AF41" s="26"/>
      <c r="AG41" s="26"/>
      <c r="AH41" s="26"/>
      <c r="AI41" s="26"/>
      <c r="AJ41" s="26"/>
      <c r="AK41" s="26"/>
      <c r="AL41" s="26" t="str">
        <f t="shared" si="0"/>
        <v>Warning</v>
      </c>
      <c r="AM41" s="176">
        <v>300</v>
      </c>
      <c r="AN41" s="49" t="s">
        <v>743</v>
      </c>
      <c r="AO41" s="26"/>
      <c r="AP41" s="49" t="s">
        <v>751</v>
      </c>
      <c r="AQ41" s="26"/>
      <c r="AR41" s="26"/>
      <c r="AS41" s="26"/>
      <c r="AT41" s="26"/>
      <c r="AU41" s="49"/>
      <c r="AV41" s="49" t="s">
        <v>763</v>
      </c>
      <c r="AW41" s="49" t="s">
        <v>765</v>
      </c>
      <c r="AX41" s="26"/>
      <c r="AY41" s="296" t="s">
        <v>767</v>
      </c>
      <c r="AZ41" s="136" t="str">
        <f>VLOOKUP(E41,'H phrases'!$B$2:$C$98,2,FALSE)</f>
        <v>May intensify fire; oxidiser.</v>
      </c>
      <c r="BA41" s="25" t="s">
        <v>2241</v>
      </c>
      <c r="BB41" s="335"/>
      <c r="BC41" s="26"/>
      <c r="BD41" s="336" t="str">
        <f t="shared" si="2"/>
        <v>when a waste contains one or more substances classified as H272 the wast shall be assessd for HP2, where appropriate and proportionate, according to test methods</v>
      </c>
    </row>
    <row r="42" spans="1:56" x14ac:dyDescent="0.25">
      <c r="A42" s="94"/>
      <c r="B42" s="12" t="s">
        <v>182</v>
      </c>
      <c r="C42" s="208" t="s">
        <v>183</v>
      </c>
      <c r="D42" s="12" t="s">
        <v>239</v>
      </c>
      <c r="E42" s="137" t="s">
        <v>36</v>
      </c>
      <c r="F42" s="130" t="s">
        <v>278</v>
      </c>
      <c r="G42" s="100"/>
      <c r="H42" s="168" t="s">
        <v>235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 t="str">
        <f t="shared" si="0"/>
        <v>Danger</v>
      </c>
      <c r="AM42" s="176">
        <v>500</v>
      </c>
      <c r="AN42" s="49" t="s">
        <v>743</v>
      </c>
      <c r="AO42" s="26"/>
      <c r="AP42" s="49" t="s">
        <v>751</v>
      </c>
      <c r="AQ42" s="26"/>
      <c r="AR42" s="26"/>
      <c r="AS42" s="26"/>
      <c r="AT42" s="26"/>
      <c r="AU42" s="49" t="s">
        <v>764</v>
      </c>
      <c r="AV42" s="49" t="s">
        <v>763</v>
      </c>
      <c r="AW42" s="49" t="s">
        <v>765</v>
      </c>
      <c r="AX42" s="26"/>
      <c r="AY42" s="296"/>
      <c r="AZ42" s="136" t="str">
        <f>VLOOKUP(E42,'H phrases'!$B$2:$C$98,2,FALSE)</f>
        <v>Heating may cause an explosion.</v>
      </c>
      <c r="BA42" s="149" t="s">
        <v>2240</v>
      </c>
      <c r="BB42" s="335"/>
      <c r="BC42" s="26"/>
      <c r="BD42" s="336" t="str">
        <f>"when a waste contains one or more substances classified as"&amp;" "&amp;E42&amp;" the wast shall be assessd for HP1, where appropriate and proportionate, according to test methods"</f>
        <v>when a waste contains one or more substances classified as H240 the wast shall be assessd for HP1, where appropriate and proportionate, according to test methods</v>
      </c>
    </row>
    <row r="43" spans="1:56" x14ac:dyDescent="0.25">
      <c r="A43" s="93"/>
      <c r="B43" s="11"/>
      <c r="C43" s="208" t="s">
        <v>184</v>
      </c>
      <c r="D43" s="12" t="s">
        <v>239</v>
      </c>
      <c r="E43" s="137" t="s">
        <v>41</v>
      </c>
      <c r="F43" s="130" t="s">
        <v>278</v>
      </c>
      <c r="G43" s="100"/>
      <c r="H43" s="168" t="s">
        <v>235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 t="str">
        <f t="shared" si="0"/>
        <v>Danger</v>
      </c>
      <c r="AM43" s="176">
        <v>500</v>
      </c>
      <c r="AN43" s="49" t="s">
        <v>743</v>
      </c>
      <c r="AO43" s="26"/>
      <c r="AP43" s="49" t="s">
        <v>751</v>
      </c>
      <c r="AQ43" s="26"/>
      <c r="AR43" s="26"/>
      <c r="AS43" s="26"/>
      <c r="AT43" s="26"/>
      <c r="AU43" s="49" t="s">
        <v>764</v>
      </c>
      <c r="AV43" s="49" t="s">
        <v>763</v>
      </c>
      <c r="AW43" s="49" t="s">
        <v>765</v>
      </c>
      <c r="AX43" s="26"/>
      <c r="AY43" s="296"/>
      <c r="AZ43" s="136" t="str">
        <f>VLOOKUP(E43,'H phrases'!$B$2:$C$98,2,FALSE)</f>
        <v>Heating may cause a fire or explosion.</v>
      </c>
      <c r="BA43" s="149" t="s">
        <v>2240</v>
      </c>
      <c r="BB43" s="335"/>
      <c r="BC43" s="26"/>
      <c r="BD43" s="336" t="str">
        <f>"when a waste contains one or more substances classified as"&amp;" "&amp;E43&amp;" the wast shall be assessd for HP1, where appropriate and proportionate, according to test methods"</f>
        <v>when a waste contains one or more substances classified as H241 the wast shall be assessd for HP1, where appropriate and proportionate, according to test methods</v>
      </c>
    </row>
    <row r="44" spans="1:56" x14ac:dyDescent="0.25">
      <c r="A44" s="93"/>
      <c r="B44" s="11"/>
      <c r="C44" s="208" t="s">
        <v>185</v>
      </c>
      <c r="D44" s="12" t="s">
        <v>239</v>
      </c>
      <c r="E44" s="137" t="s">
        <v>42</v>
      </c>
      <c r="F44" s="130" t="s">
        <v>279</v>
      </c>
      <c r="G44" s="100"/>
      <c r="H44" s="168" t="s">
        <v>235</v>
      </c>
      <c r="I44" s="49" t="s">
        <v>4</v>
      </c>
      <c r="J44" s="103" t="s">
        <v>37</v>
      </c>
      <c r="K44" s="106" t="s">
        <v>6</v>
      </c>
      <c r="L44" s="104">
        <f>IF('gevaarljike stoffen'!$M$13="yes","P370 + P378",0)</f>
        <v>0</v>
      </c>
      <c r="M44" s="106" t="s">
        <v>32</v>
      </c>
      <c r="N44" s="26"/>
      <c r="O44" s="26"/>
      <c r="P44" s="49" t="s">
        <v>16</v>
      </c>
      <c r="Q44" s="110" t="s">
        <v>40</v>
      </c>
      <c r="R44" s="110"/>
      <c r="S44" s="26"/>
      <c r="T44" s="26"/>
      <c r="U44" s="26"/>
      <c r="V44" s="26"/>
      <c r="W44" s="107" t="s">
        <v>65</v>
      </c>
      <c r="X44" s="26"/>
      <c r="Y44" s="26"/>
      <c r="Z44" s="26"/>
      <c r="AA44" s="26"/>
      <c r="AB44" s="26"/>
      <c r="AC44" s="26"/>
      <c r="AD44" s="108"/>
      <c r="AE44" s="105"/>
      <c r="AF44" s="105"/>
      <c r="AG44" s="102"/>
      <c r="AH44" s="102" t="s">
        <v>295</v>
      </c>
      <c r="AI44" s="26"/>
      <c r="AJ44" s="26"/>
      <c r="AK44" s="26"/>
      <c r="AL44" s="26" t="str">
        <f t="shared" si="0"/>
        <v>Danger</v>
      </c>
      <c r="AM44" s="176">
        <v>400</v>
      </c>
      <c r="AN44" s="49" t="s">
        <v>743</v>
      </c>
      <c r="AO44" s="26"/>
      <c r="AP44" s="49" t="s">
        <v>751</v>
      </c>
      <c r="AQ44" s="26"/>
      <c r="AR44" s="26"/>
      <c r="AS44" s="26"/>
      <c r="AT44" s="26"/>
      <c r="AU44" s="49" t="s">
        <v>764</v>
      </c>
      <c r="AV44" s="49" t="s">
        <v>763</v>
      </c>
      <c r="AW44" s="49" t="s">
        <v>765</v>
      </c>
      <c r="AX44" s="26"/>
      <c r="AY44" s="296"/>
      <c r="AZ44" s="136" t="str">
        <f>VLOOKUP(E44,'H phrases'!$B$2:$C$98,2,FALSE)</f>
        <v>Heating may cause a fire.</v>
      </c>
      <c r="BA44" s="25" t="s">
        <v>2242</v>
      </c>
      <c r="BB44" s="335"/>
      <c r="BC44" s="26"/>
      <c r="BD44" s="336" t="str">
        <f>"when a waste contains one or more substances classified as"&amp;" "&amp;E44&amp;" the wast shall be assessd for HP3, where appropriate and proportionate, according to test methods"</f>
        <v>when a waste contains one or more substances classified as H242 the wast shall be assessd for HP3, where appropriate and proportionate, according to test methods</v>
      </c>
    </row>
    <row r="45" spans="1:56" x14ac:dyDescent="0.25">
      <c r="A45" s="94"/>
      <c r="B45" s="11"/>
      <c r="C45" s="208" t="s">
        <v>186</v>
      </c>
      <c r="D45" s="12" t="s">
        <v>244</v>
      </c>
      <c r="E45" s="137" t="s">
        <v>42</v>
      </c>
      <c r="F45" s="130" t="s">
        <v>279</v>
      </c>
      <c r="G45" s="100"/>
      <c r="H45" s="168" t="s">
        <v>235</v>
      </c>
      <c r="I45" s="49" t="s">
        <v>4</v>
      </c>
      <c r="J45" s="103" t="s">
        <v>37</v>
      </c>
      <c r="K45" s="106" t="s">
        <v>6</v>
      </c>
      <c r="L45" s="104">
        <f>IF('gevaarljike stoffen'!$M$13="yes","P370 + P378",0)</f>
        <v>0</v>
      </c>
      <c r="M45" s="106" t="s">
        <v>32</v>
      </c>
      <c r="N45" s="26"/>
      <c r="O45" s="26"/>
      <c r="P45" s="49" t="s">
        <v>16</v>
      </c>
      <c r="Q45" s="110" t="s">
        <v>40</v>
      </c>
      <c r="R45" s="110"/>
      <c r="S45" s="26"/>
      <c r="T45" s="26"/>
      <c r="U45" s="26"/>
      <c r="V45" s="26"/>
      <c r="W45" s="107" t="s">
        <v>65</v>
      </c>
      <c r="X45" s="26"/>
      <c r="Y45" s="26"/>
      <c r="Z45" s="26"/>
      <c r="AA45" s="26"/>
      <c r="AB45" s="26"/>
      <c r="AC45" s="26"/>
      <c r="AD45" s="108"/>
      <c r="AE45" s="105"/>
      <c r="AF45" s="105"/>
      <c r="AG45" s="102"/>
      <c r="AH45" s="102" t="s">
        <v>295</v>
      </c>
      <c r="AI45" s="26"/>
      <c r="AJ45" s="26"/>
      <c r="AK45" s="26"/>
      <c r="AL45" s="26" t="str">
        <f t="shared" si="0"/>
        <v>Warning</v>
      </c>
      <c r="AM45" s="176">
        <v>300</v>
      </c>
      <c r="AN45" s="49" t="s">
        <v>743</v>
      </c>
      <c r="AO45" s="26"/>
      <c r="AP45" s="49" t="s">
        <v>751</v>
      </c>
      <c r="AQ45" s="26"/>
      <c r="AR45" s="26"/>
      <c r="AS45" s="26"/>
      <c r="AT45" s="26"/>
      <c r="AU45" s="49" t="s">
        <v>764</v>
      </c>
      <c r="AV45" s="49" t="s">
        <v>763</v>
      </c>
      <c r="AW45" s="49" t="s">
        <v>765</v>
      </c>
      <c r="AX45" s="26"/>
      <c r="AY45" s="296"/>
      <c r="AZ45" s="136" t="str">
        <f>VLOOKUP(E45,'H phrases'!$B$2:$C$98,2,FALSE)</f>
        <v>Heating may cause a fire.</v>
      </c>
      <c r="BA45" s="25" t="s">
        <v>2242</v>
      </c>
      <c r="BB45" s="335"/>
      <c r="BC45" s="26"/>
      <c r="BD45" s="336" t="str">
        <f>"when a waste contains one or more substances classified as"&amp;" "&amp;E45&amp;" the wast shall be assessd for HP3, where appropriate and proportionate, according to test methods"</f>
        <v>when a waste contains one or more substances classified as H242 the wast shall be assessd for HP3, where appropriate and proportionate, according to test methods</v>
      </c>
    </row>
    <row r="46" spans="1:56" x14ac:dyDescent="0.25">
      <c r="A46" s="93"/>
      <c r="B46" s="11"/>
      <c r="C46" s="209" t="s">
        <v>187</v>
      </c>
      <c r="D46" s="12" t="s">
        <v>277</v>
      </c>
      <c r="E46" s="137"/>
      <c r="F46" s="130"/>
      <c r="G46" s="100"/>
      <c r="H46" s="167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176">
        <v>200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136"/>
      <c r="AZ46" s="136"/>
      <c r="BA46" s="25"/>
      <c r="BB46" s="335"/>
      <c r="BC46" s="26"/>
      <c r="BD46" s="337"/>
    </row>
    <row r="47" spans="1:56" x14ac:dyDescent="0.25">
      <c r="A47" s="94"/>
      <c r="B47" s="12" t="s">
        <v>188</v>
      </c>
      <c r="C47" s="209" t="s">
        <v>189</v>
      </c>
      <c r="D47" s="12" t="s">
        <v>244</v>
      </c>
      <c r="E47" s="137" t="s">
        <v>66</v>
      </c>
      <c r="F47" s="130" t="s">
        <v>282</v>
      </c>
      <c r="G47" s="100"/>
      <c r="H47" s="167"/>
      <c r="I47" s="26"/>
      <c r="J47" s="26"/>
      <c r="K47" s="26"/>
      <c r="L47" s="26"/>
      <c r="M47" s="26"/>
      <c r="N47" s="26"/>
      <c r="O47" s="26"/>
      <c r="P47" s="49" t="s">
        <v>67</v>
      </c>
      <c r="Q47" s="26"/>
      <c r="R47" s="26"/>
      <c r="S47" s="26"/>
      <c r="T47" s="26"/>
      <c r="U47" s="26"/>
      <c r="V47" s="26"/>
      <c r="W47" s="49" t="s">
        <v>37</v>
      </c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 t="str">
        <f t="shared" si="0"/>
        <v>Warning</v>
      </c>
      <c r="AM47" s="176">
        <v>300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136"/>
      <c r="AZ47" s="136" t="str">
        <f>VLOOKUP(E47,'H phrases'!$B$2:$C$98,2,FALSE)</f>
        <v>May be corrosive to metals.</v>
      </c>
      <c r="BA47" s="25"/>
      <c r="BB47" s="335"/>
      <c r="BC47" s="26"/>
      <c r="BD47" s="337"/>
    </row>
    <row r="48" spans="1:56" ht="180" x14ac:dyDescent="0.25">
      <c r="A48" s="92" t="s">
        <v>190</v>
      </c>
      <c r="B48" s="12" t="s">
        <v>191</v>
      </c>
      <c r="C48" s="209" t="s">
        <v>254</v>
      </c>
      <c r="D48" s="12" t="s">
        <v>239</v>
      </c>
      <c r="E48" s="138" t="s">
        <v>69</v>
      </c>
      <c r="F48" s="130" t="s">
        <v>283</v>
      </c>
      <c r="G48" s="100" t="str">
        <f>IF('gevaarljike stoffen'!R25='gevaarljike stoffen'!AB74,"H1",IF('gevaarljike stoffen'!R25='gevaarljike stoffen'!AB75,"H2","H1 or H2"))</f>
        <v>H1 or H2</v>
      </c>
      <c r="H48" s="168" t="s">
        <v>235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9" t="s">
        <v>562</v>
      </c>
      <c r="AK48" s="49" t="s">
        <v>562</v>
      </c>
      <c r="AL48" s="26" t="str">
        <f t="shared" si="0"/>
        <v>Danger</v>
      </c>
      <c r="AM48" s="50">
        <v>5</v>
      </c>
      <c r="AN48" s="26"/>
      <c r="AO48" s="26"/>
      <c r="AP48" s="49" t="s">
        <v>751</v>
      </c>
      <c r="AQ48" s="49" t="s">
        <v>752</v>
      </c>
      <c r="AR48" s="26"/>
      <c r="AS48" s="26"/>
      <c r="AT48" s="49" t="s">
        <v>755</v>
      </c>
      <c r="AU48" s="26"/>
      <c r="AV48" s="26"/>
      <c r="AW48" s="26"/>
      <c r="AX48" s="26"/>
      <c r="AY48" s="136"/>
      <c r="AZ48" s="136" t="str">
        <f>VLOOKUP(E48,'H phrases'!$B$2:$C$98,2,FALSE)</f>
        <v>Fatal if swallowed.</v>
      </c>
      <c r="BA48" s="25" t="s">
        <v>2245</v>
      </c>
      <c r="BB48" s="338" t="s">
        <v>2264</v>
      </c>
      <c r="BC48" s="339" t="s">
        <v>2274</v>
      </c>
      <c r="BD48" s="336" t="s">
        <v>2273</v>
      </c>
    </row>
    <row r="49" spans="1:56" ht="180" x14ac:dyDescent="0.25">
      <c r="A49" s="92"/>
      <c r="B49" s="12"/>
      <c r="C49" s="208" t="s">
        <v>256</v>
      </c>
      <c r="D49" s="12" t="s">
        <v>239</v>
      </c>
      <c r="E49" s="138" t="s">
        <v>79</v>
      </c>
      <c r="F49" s="130" t="s">
        <v>283</v>
      </c>
      <c r="G49" s="100" t="str">
        <f>IF('gevaarljike stoffen'!R25='gevaarljike stoffen'!AB74,"H1",IF('gevaarljike stoffen'!R25='gevaarljike stoffen'!AB75,"H2","H1 or H2"))</f>
        <v>H1 or H2</v>
      </c>
      <c r="H49" s="168" t="s">
        <v>235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9" t="s">
        <v>562</v>
      </c>
      <c r="AK49" s="49" t="s">
        <v>562</v>
      </c>
      <c r="AL49" s="26" t="str">
        <f t="shared" si="0"/>
        <v>Danger</v>
      </c>
      <c r="AM49" s="50">
        <v>5</v>
      </c>
      <c r="AN49" s="26"/>
      <c r="AO49" s="121" t="s">
        <v>744</v>
      </c>
      <c r="AP49" s="49" t="s">
        <v>751</v>
      </c>
      <c r="AQ49" s="49" t="s">
        <v>752</v>
      </c>
      <c r="AR49" s="26"/>
      <c r="AS49" s="26"/>
      <c r="AT49" s="49" t="s">
        <v>755</v>
      </c>
      <c r="AU49" s="26"/>
      <c r="AV49" s="26"/>
      <c r="AW49" s="26"/>
      <c r="AX49" s="26"/>
      <c r="AY49" s="136"/>
      <c r="AZ49" s="136" t="str">
        <f>VLOOKUP(E49,'H phrases'!$B$2:$C$98,2,FALSE)</f>
        <v>Fatal in contact with skin.</v>
      </c>
      <c r="BA49" s="25" t="s">
        <v>2245</v>
      </c>
      <c r="BB49" s="338" t="s">
        <v>2265</v>
      </c>
      <c r="BC49" s="339" t="s">
        <v>2275</v>
      </c>
      <c r="BD49" s="336" t="s">
        <v>2273</v>
      </c>
    </row>
    <row r="50" spans="1:56" ht="180" x14ac:dyDescent="0.25">
      <c r="A50" s="92"/>
      <c r="B50" s="12"/>
      <c r="C50" s="208" t="s">
        <v>257</v>
      </c>
      <c r="D50" s="12" t="s">
        <v>239</v>
      </c>
      <c r="E50" s="139" t="s">
        <v>266</v>
      </c>
      <c r="F50" s="130" t="s">
        <v>283</v>
      </c>
      <c r="G50" s="100" t="str">
        <f>IF('gevaarljike stoffen'!R25='gevaarljike stoffen'!AB74,"H1",IF('gevaarljike stoffen'!R25='gevaarljike stoffen'!AB75,"H2","H1 or H2"))</f>
        <v>H1 or H2</v>
      </c>
      <c r="H50" s="168" t="s">
        <v>235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9" t="s">
        <v>562</v>
      </c>
      <c r="AK50" s="49" t="s">
        <v>562</v>
      </c>
      <c r="AL50" s="26" t="str">
        <f t="shared" si="0"/>
        <v>Danger</v>
      </c>
      <c r="AM50" s="50">
        <v>5</v>
      </c>
      <c r="AN50" s="26"/>
      <c r="AO50" s="26"/>
      <c r="AP50" s="26"/>
      <c r="AQ50" s="26"/>
      <c r="AR50" s="49">
        <f>IF($C$149,"M016",0)</f>
        <v>0</v>
      </c>
      <c r="AS50" s="49" t="str">
        <f>IF($C$147,"M017",0)</f>
        <v>M017</v>
      </c>
      <c r="AT50" s="26"/>
      <c r="AU50" s="123" t="str">
        <f>IF($C$138,"G057",0)</f>
        <v>G057</v>
      </c>
      <c r="AV50" s="26"/>
      <c r="AW50" s="26"/>
      <c r="AX50" s="26"/>
      <c r="AY50" s="136"/>
      <c r="AZ50" s="136" t="str">
        <f>VLOOKUP(E50,'H phrases'!$B$2:$C$98,2,FALSE)</f>
        <v>Fatal if inhaled.</v>
      </c>
      <c r="BA50" s="25" t="s">
        <v>2245</v>
      </c>
      <c r="BB50" s="338" t="s">
        <v>2266</v>
      </c>
      <c r="BC50" s="339" t="s">
        <v>2276</v>
      </c>
      <c r="BD50" s="336" t="s">
        <v>2273</v>
      </c>
    </row>
    <row r="51" spans="1:56" x14ac:dyDescent="0.25">
      <c r="A51" s="94"/>
      <c r="B51" s="11"/>
      <c r="C51" s="208" t="s">
        <v>255</v>
      </c>
      <c r="D51" s="12" t="s">
        <v>239</v>
      </c>
      <c r="E51" s="140" t="s">
        <v>69</v>
      </c>
      <c r="F51" s="130" t="s">
        <v>283</v>
      </c>
      <c r="G51" s="100" t="str">
        <f>IF('gevaarljike stoffen'!R25='gevaarljike stoffen'!AB74,"H1",IF('gevaarljike stoffen'!R25='gevaarljike stoffen'!AB75,"H2","H1 or H2"))</f>
        <v>H1 or H2</v>
      </c>
      <c r="H51" s="168" t="s">
        <v>235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9" t="s">
        <v>562</v>
      </c>
      <c r="AK51" s="49" t="s">
        <v>562</v>
      </c>
      <c r="AL51" s="26" t="str">
        <f t="shared" si="0"/>
        <v>Danger</v>
      </c>
      <c r="AM51" s="50">
        <v>5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136"/>
      <c r="AZ51" s="136" t="str">
        <f>VLOOKUP(E51,'H phrases'!$B$2:$C$98,2,FALSE)</f>
        <v>Fatal if swallowed.</v>
      </c>
      <c r="BA51" s="25" t="s">
        <v>2245</v>
      </c>
      <c r="BB51" s="338" t="s">
        <v>2264</v>
      </c>
      <c r="BC51" s="49"/>
      <c r="BD51" s="336" t="s">
        <v>2273</v>
      </c>
    </row>
    <row r="52" spans="1:56" x14ac:dyDescent="0.25">
      <c r="A52" s="94"/>
      <c r="B52" s="11"/>
      <c r="C52" s="208" t="s">
        <v>258</v>
      </c>
      <c r="D52" s="12" t="s">
        <v>239</v>
      </c>
      <c r="E52" s="138" t="s">
        <v>79</v>
      </c>
      <c r="F52" s="130" t="s">
        <v>283</v>
      </c>
      <c r="G52" s="100" t="str">
        <f>IF('gevaarljike stoffen'!R25='gevaarljike stoffen'!AB74,"H1",IF('gevaarljike stoffen'!R25='gevaarljike stoffen'!AB75,"H2","H1 or H2"))</f>
        <v>H1 or H2</v>
      </c>
      <c r="H52" s="168" t="s">
        <v>235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9" t="s">
        <v>562</v>
      </c>
      <c r="AK52" s="49" t="s">
        <v>562</v>
      </c>
      <c r="AL52" s="26" t="str">
        <f t="shared" si="0"/>
        <v>Danger</v>
      </c>
      <c r="AM52" s="50">
        <v>5</v>
      </c>
      <c r="AN52" s="26"/>
      <c r="AO52" s="121" t="s">
        <v>744</v>
      </c>
      <c r="AP52" s="26"/>
      <c r="AQ52" s="26"/>
      <c r="AR52" s="26"/>
      <c r="AS52" s="26"/>
      <c r="AT52" s="26"/>
      <c r="AU52" s="26"/>
      <c r="AV52" s="26"/>
      <c r="AW52" s="26"/>
      <c r="AX52" s="26"/>
      <c r="AY52" s="136"/>
      <c r="AZ52" s="136" t="str">
        <f>VLOOKUP(E52,'H phrases'!$B$2:$C$98,2,FALSE)</f>
        <v>Fatal in contact with skin.</v>
      </c>
      <c r="BA52" s="25" t="s">
        <v>2245</v>
      </c>
      <c r="BB52" s="338" t="s">
        <v>2265</v>
      </c>
      <c r="BC52" s="49"/>
      <c r="BD52" s="336" t="s">
        <v>2273</v>
      </c>
    </row>
    <row r="53" spans="1:56" x14ac:dyDescent="0.25">
      <c r="A53" s="94"/>
      <c r="B53" s="11"/>
      <c r="C53" s="208" t="s">
        <v>259</v>
      </c>
      <c r="D53" s="12" t="s">
        <v>239</v>
      </c>
      <c r="E53" s="138" t="s">
        <v>266</v>
      </c>
      <c r="F53" s="130" t="s">
        <v>283</v>
      </c>
      <c r="G53" s="100" t="str">
        <f>IF('gevaarljike stoffen'!R25='gevaarljike stoffen'!AB74,"H1",IF('gevaarljike stoffen'!R25='gevaarljike stoffen'!AB75,"H2","H1 or H2"))</f>
        <v>H1 or H2</v>
      </c>
      <c r="H53" s="168" t="s">
        <v>235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49" t="s">
        <v>562</v>
      </c>
      <c r="AK53" s="49" t="s">
        <v>562</v>
      </c>
      <c r="AL53" s="26" t="str">
        <f t="shared" si="0"/>
        <v>Danger</v>
      </c>
      <c r="AM53" s="50">
        <v>5</v>
      </c>
      <c r="AN53" s="26"/>
      <c r="AO53" s="26"/>
      <c r="AP53" s="26"/>
      <c r="AQ53" s="26"/>
      <c r="AR53" s="49">
        <f>IF($C$149,"M016",0)</f>
        <v>0</v>
      </c>
      <c r="AS53" s="49" t="str">
        <f>IF($C$147,"M017",0)</f>
        <v>M017</v>
      </c>
      <c r="AT53" s="26"/>
      <c r="AU53" s="123" t="str">
        <f>IF($C$138,"G057",0)</f>
        <v>G057</v>
      </c>
      <c r="AV53" s="26"/>
      <c r="AW53" s="26"/>
      <c r="AX53" s="26"/>
      <c r="AY53" s="136"/>
      <c r="AZ53" s="136" t="str">
        <f>VLOOKUP(E53,'H phrases'!$B$2:$C$98,2,FALSE)</f>
        <v>Fatal if inhaled.</v>
      </c>
      <c r="BA53" s="25" t="s">
        <v>2245</v>
      </c>
      <c r="BB53" s="338" t="s">
        <v>2266</v>
      </c>
      <c r="BC53" s="49"/>
      <c r="BD53" s="336" t="s">
        <v>2273</v>
      </c>
    </row>
    <row r="54" spans="1:56" x14ac:dyDescent="0.25">
      <c r="A54" s="93"/>
      <c r="B54" s="11"/>
      <c r="C54" s="208" t="s">
        <v>260</v>
      </c>
      <c r="D54" s="12" t="s">
        <v>239</v>
      </c>
      <c r="E54" s="137" t="s">
        <v>76</v>
      </c>
      <c r="F54" s="130" t="s">
        <v>283</v>
      </c>
      <c r="G54" s="100" t="s">
        <v>588</v>
      </c>
      <c r="H54" s="169" t="s">
        <v>806</v>
      </c>
      <c r="I54" s="49" t="s">
        <v>72</v>
      </c>
      <c r="J54" s="104">
        <f>IF('gevaarljike stoffen'!$M$15="yes","P321",0)</f>
        <v>0</v>
      </c>
      <c r="K54" s="26"/>
      <c r="L54" s="26"/>
      <c r="M54" s="26"/>
      <c r="N54" s="26"/>
      <c r="O54" s="26"/>
      <c r="P54" s="102" t="s">
        <v>70</v>
      </c>
      <c r="Q54" s="26"/>
      <c r="R54" s="26"/>
      <c r="S54" s="26"/>
      <c r="T54" s="26"/>
      <c r="U54" s="26"/>
      <c r="V54" s="26"/>
      <c r="W54" s="49" t="s">
        <v>71</v>
      </c>
      <c r="X54" s="49" t="s">
        <v>75</v>
      </c>
      <c r="Y54" s="49" t="s">
        <v>74</v>
      </c>
      <c r="Z54" s="26"/>
      <c r="AA54" s="26"/>
      <c r="AB54" s="26"/>
      <c r="AC54" s="26"/>
      <c r="AD54" s="102" t="s">
        <v>300</v>
      </c>
      <c r="AE54" s="108"/>
      <c r="AF54" s="26"/>
      <c r="AG54" s="26"/>
      <c r="AH54" s="26"/>
      <c r="AI54" s="26"/>
      <c r="AJ54" s="49" t="s">
        <v>562</v>
      </c>
      <c r="AK54" s="49" t="s">
        <v>562</v>
      </c>
      <c r="AL54" s="26" t="str">
        <f t="shared" si="0"/>
        <v>Danger</v>
      </c>
      <c r="AM54" s="50">
        <v>4</v>
      </c>
      <c r="AN54" s="26"/>
      <c r="AO54" s="26"/>
      <c r="AP54" s="49" t="s">
        <v>751</v>
      </c>
      <c r="AQ54" s="49" t="s">
        <v>752</v>
      </c>
      <c r="AR54" s="26"/>
      <c r="AS54" s="26"/>
      <c r="AT54" s="49" t="s">
        <v>755</v>
      </c>
      <c r="AU54" s="26"/>
      <c r="AV54" s="26"/>
      <c r="AW54" s="26"/>
      <c r="AX54" s="26"/>
      <c r="AY54" s="136"/>
      <c r="AZ54" s="136" t="str">
        <f>VLOOKUP(E54,'H phrases'!$B$2:$C$98,2,FALSE)</f>
        <v>Toxic if swallowed.</v>
      </c>
      <c r="BA54" s="25" t="s">
        <v>2245</v>
      </c>
      <c r="BB54" s="338" t="s">
        <v>2267</v>
      </c>
      <c r="BC54" s="49" t="s">
        <v>2277</v>
      </c>
      <c r="BD54" s="336" t="s">
        <v>2273</v>
      </c>
    </row>
    <row r="55" spans="1:56" ht="90" x14ac:dyDescent="0.25">
      <c r="A55" s="93"/>
      <c r="B55" s="11"/>
      <c r="C55" s="208" t="s">
        <v>261</v>
      </c>
      <c r="D55" s="12" t="s">
        <v>239</v>
      </c>
      <c r="E55" s="137" t="s">
        <v>86</v>
      </c>
      <c r="F55" s="130" t="s">
        <v>283</v>
      </c>
      <c r="G55" s="100" t="s">
        <v>588</v>
      </c>
      <c r="H55" s="169" t="s">
        <v>806</v>
      </c>
      <c r="I55" s="49" t="s">
        <v>6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49" t="s">
        <v>87</v>
      </c>
      <c r="X55" s="108" t="s">
        <v>88</v>
      </c>
      <c r="Y55" s="106">
        <f>IF('gevaarljike stoffen'!$M$15="yes","P321",0)</f>
        <v>0</v>
      </c>
      <c r="Z55" s="51" t="s">
        <v>85</v>
      </c>
      <c r="AA55" s="49" t="s">
        <v>75</v>
      </c>
      <c r="AB55" s="26"/>
      <c r="AC55" s="26"/>
      <c r="AD55" s="108" t="s">
        <v>301</v>
      </c>
      <c r="AE55" s="26"/>
      <c r="AF55" s="26"/>
      <c r="AG55" s="26"/>
      <c r="AH55" s="26"/>
      <c r="AI55" s="26"/>
      <c r="AJ55" s="49" t="s">
        <v>562</v>
      </c>
      <c r="AK55" s="49" t="s">
        <v>562</v>
      </c>
      <c r="AL55" s="26" t="str">
        <f t="shared" si="0"/>
        <v>Danger</v>
      </c>
      <c r="AM55" s="50">
        <v>4</v>
      </c>
      <c r="AN55" s="26"/>
      <c r="AO55" s="121" t="s">
        <v>744</v>
      </c>
      <c r="AP55" s="49" t="s">
        <v>751</v>
      </c>
      <c r="AQ55" s="49" t="s">
        <v>752</v>
      </c>
      <c r="AR55" s="26"/>
      <c r="AS55" s="26"/>
      <c r="AT55" s="49" t="s">
        <v>755</v>
      </c>
      <c r="AU55" s="26"/>
      <c r="AV55" s="26"/>
      <c r="AW55" s="26"/>
      <c r="AX55" s="26"/>
      <c r="AY55" s="136"/>
      <c r="AZ55" s="136" t="str">
        <f>VLOOKUP(E55,'H phrases'!$B$2:$C$98,2,FALSE)</f>
        <v>Toxic in contact with skin.</v>
      </c>
      <c r="BA55" s="25" t="s">
        <v>2245</v>
      </c>
      <c r="BB55" s="338" t="s">
        <v>2268</v>
      </c>
      <c r="BC55" s="339" t="s">
        <v>2278</v>
      </c>
      <c r="BD55" s="336" t="s">
        <v>2273</v>
      </c>
    </row>
    <row r="56" spans="1:56" x14ac:dyDescent="0.25">
      <c r="A56" s="93"/>
      <c r="B56" s="11"/>
      <c r="C56" s="208" t="s">
        <v>262</v>
      </c>
      <c r="D56" s="12" t="s">
        <v>239</v>
      </c>
      <c r="E56" s="137" t="s">
        <v>267</v>
      </c>
      <c r="F56" s="130" t="s">
        <v>283</v>
      </c>
      <c r="G56" s="100" t="s">
        <v>588</v>
      </c>
      <c r="H56" s="168" t="s">
        <v>235</v>
      </c>
      <c r="I56" s="49" t="s">
        <v>95</v>
      </c>
      <c r="J56" s="26"/>
      <c r="K56" s="26"/>
      <c r="L56" s="26"/>
      <c r="M56" s="26"/>
      <c r="N56" s="26"/>
      <c r="O56" s="26"/>
      <c r="P56" s="49" t="s">
        <v>96</v>
      </c>
      <c r="Q56" s="49" t="s">
        <v>93</v>
      </c>
      <c r="R56" s="49" t="s">
        <v>97</v>
      </c>
      <c r="S56" s="49" t="s">
        <v>73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49" t="s">
        <v>562</v>
      </c>
      <c r="AK56" s="49" t="s">
        <v>562</v>
      </c>
      <c r="AL56" s="26" t="str">
        <f t="shared" si="0"/>
        <v>Danger</v>
      </c>
      <c r="AM56" s="50">
        <v>4</v>
      </c>
      <c r="AN56" s="26"/>
      <c r="AO56" s="26"/>
      <c r="AP56" s="26"/>
      <c r="AQ56" s="26"/>
      <c r="AR56" s="49">
        <f>IF($C$149,"M016",0)</f>
        <v>0</v>
      </c>
      <c r="AS56" s="49" t="str">
        <f>IF($C$147,"M017",0)</f>
        <v>M017</v>
      </c>
      <c r="AT56" s="26"/>
      <c r="AU56" s="123" t="str">
        <f>IF($C$138,"G057",0)</f>
        <v>G057</v>
      </c>
      <c r="AV56" s="26"/>
      <c r="AW56" s="26"/>
      <c r="AX56" s="26"/>
      <c r="AY56" s="136"/>
      <c r="AZ56" s="136" t="str">
        <f>VLOOKUP(E56,'H phrases'!$B$2:$C$98,2,FALSE)</f>
        <v>Toxic if inhaled.</v>
      </c>
      <c r="BA56" s="25" t="s">
        <v>2245</v>
      </c>
      <c r="BB56" s="338" t="s">
        <v>2269</v>
      </c>
      <c r="BC56" s="49" t="s">
        <v>2279</v>
      </c>
      <c r="BD56" s="336" t="s">
        <v>2273</v>
      </c>
    </row>
    <row r="57" spans="1:56" x14ac:dyDescent="0.25">
      <c r="A57" s="94"/>
      <c r="B57" s="11"/>
      <c r="C57" s="208" t="s">
        <v>263</v>
      </c>
      <c r="D57" s="12" t="s">
        <v>244</v>
      </c>
      <c r="E57" s="137" t="s">
        <v>77</v>
      </c>
      <c r="F57" s="130" t="s">
        <v>284</v>
      </c>
      <c r="G57" s="100"/>
      <c r="H57" s="167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49" t="s">
        <v>70</v>
      </c>
      <c r="X57" s="49" t="s">
        <v>71</v>
      </c>
      <c r="Y57" s="49" t="s">
        <v>78</v>
      </c>
      <c r="Z57" s="51" t="s">
        <v>74</v>
      </c>
      <c r="AA57" s="51"/>
      <c r="AB57" s="26"/>
      <c r="AC57" s="26"/>
      <c r="AD57" s="26"/>
      <c r="AE57" s="26"/>
      <c r="AF57" s="26"/>
      <c r="AG57" s="26"/>
      <c r="AH57" s="26"/>
      <c r="AI57" s="26"/>
      <c r="AJ57" s="26"/>
      <c r="AK57" s="49" t="s">
        <v>562</v>
      </c>
      <c r="AL57" s="26" t="str">
        <f t="shared" si="0"/>
        <v>Warning</v>
      </c>
      <c r="AM57" s="50">
        <v>3</v>
      </c>
      <c r="AN57" s="26"/>
      <c r="AO57" s="26"/>
      <c r="AP57" s="49" t="s">
        <v>751</v>
      </c>
      <c r="AQ57" s="26"/>
      <c r="AR57" s="26"/>
      <c r="AS57" s="26"/>
      <c r="AT57" s="49" t="s">
        <v>755</v>
      </c>
      <c r="AU57" s="26"/>
      <c r="AV57" s="26"/>
      <c r="AW57" s="26"/>
      <c r="AX57" s="26"/>
      <c r="AY57" s="136"/>
      <c r="AZ57" s="136" t="str">
        <f>VLOOKUP(E57,'H phrases'!$B$2:$C$98,2,FALSE)</f>
        <v>Harmful if swallowed.</v>
      </c>
      <c r="BA57" s="25" t="s">
        <v>2245</v>
      </c>
      <c r="BB57" s="338" t="s">
        <v>2270</v>
      </c>
      <c r="BC57" s="49" t="s">
        <v>2280</v>
      </c>
      <c r="BD57" s="336" t="s">
        <v>2273</v>
      </c>
    </row>
    <row r="58" spans="1:56" ht="90" x14ac:dyDescent="0.25">
      <c r="A58" s="94"/>
      <c r="B58" s="11"/>
      <c r="C58" s="208" t="s">
        <v>264</v>
      </c>
      <c r="D58" s="12" t="s">
        <v>244</v>
      </c>
      <c r="E58" s="137" t="s">
        <v>89</v>
      </c>
      <c r="F58" s="130" t="s">
        <v>284</v>
      </c>
      <c r="G58" s="100"/>
      <c r="H58" s="167"/>
      <c r="I58" s="49"/>
      <c r="J58" s="26"/>
      <c r="K58" s="26"/>
      <c r="L58" s="26"/>
      <c r="M58" s="26"/>
      <c r="N58" s="26"/>
      <c r="O58" s="26"/>
      <c r="P58" s="49" t="s">
        <v>6</v>
      </c>
      <c r="Q58" s="26"/>
      <c r="R58" s="26"/>
      <c r="S58" s="26"/>
      <c r="T58" s="26"/>
      <c r="U58" s="26"/>
      <c r="V58" s="26"/>
      <c r="W58" s="51" t="s">
        <v>87</v>
      </c>
      <c r="X58" s="104" t="s">
        <v>88</v>
      </c>
      <c r="Y58" s="106">
        <f>IF('gevaarljike stoffen'!$M$15="yes","P321",0)</f>
        <v>0</v>
      </c>
      <c r="Z58" s="51" t="s">
        <v>85</v>
      </c>
      <c r="AA58" s="26"/>
      <c r="AB58" s="26"/>
      <c r="AC58" s="26"/>
      <c r="AD58" s="108" t="s">
        <v>301</v>
      </c>
      <c r="AE58" s="26"/>
      <c r="AF58" s="26"/>
      <c r="AG58" s="26"/>
      <c r="AH58" s="26"/>
      <c r="AI58" s="26"/>
      <c r="AJ58" s="26"/>
      <c r="AK58" s="49" t="s">
        <v>562</v>
      </c>
      <c r="AL58" s="26" t="str">
        <f t="shared" si="0"/>
        <v>Warning</v>
      </c>
      <c r="AM58" s="50">
        <v>3</v>
      </c>
      <c r="AN58" s="49" t="s">
        <v>743</v>
      </c>
      <c r="AO58" s="26"/>
      <c r="AP58" s="49" t="s">
        <v>751</v>
      </c>
      <c r="AQ58" s="26"/>
      <c r="AR58" s="26"/>
      <c r="AS58" s="26"/>
      <c r="AT58" s="49" t="s">
        <v>755</v>
      </c>
      <c r="AU58" s="26"/>
      <c r="AV58" s="26"/>
      <c r="AW58" s="26"/>
      <c r="AX58" s="26"/>
      <c r="AY58" s="136"/>
      <c r="AZ58" s="136" t="str">
        <f>VLOOKUP(E58,'H phrases'!$B$2:$C$98,2,FALSE)</f>
        <v>Harmful in contact with skin.</v>
      </c>
      <c r="BA58" s="25" t="s">
        <v>2245</v>
      </c>
      <c r="BB58" s="338" t="s">
        <v>2271</v>
      </c>
      <c r="BC58" s="339" t="s">
        <v>2281</v>
      </c>
      <c r="BD58" s="336" t="s">
        <v>2273</v>
      </c>
    </row>
    <row r="59" spans="1:56" x14ac:dyDescent="0.25">
      <c r="A59" s="94"/>
      <c r="B59" s="11"/>
      <c r="C59" s="208" t="s">
        <v>265</v>
      </c>
      <c r="D59" s="12" t="s">
        <v>244</v>
      </c>
      <c r="E59" s="137" t="s">
        <v>268</v>
      </c>
      <c r="F59" s="130" t="s">
        <v>284</v>
      </c>
      <c r="G59" s="100"/>
      <c r="H59" s="167"/>
      <c r="I59" s="26"/>
      <c r="J59" s="42"/>
      <c r="K59" s="26"/>
      <c r="L59" s="26"/>
      <c r="M59" s="26"/>
      <c r="N59" s="26"/>
      <c r="O59" s="26"/>
      <c r="P59" s="105" t="str">
        <f>IF(C138,"P261",0)</f>
        <v>P261</v>
      </c>
      <c r="Q59" s="26"/>
      <c r="R59" s="26"/>
      <c r="S59" s="26"/>
      <c r="T59" s="26"/>
      <c r="U59" s="26"/>
      <c r="V59" s="26"/>
      <c r="W59" s="51" t="s">
        <v>91</v>
      </c>
      <c r="X59" s="51" t="s">
        <v>558</v>
      </c>
      <c r="Y59" s="104" t="s">
        <v>88</v>
      </c>
      <c r="Z59" s="26"/>
      <c r="AA59" s="26"/>
      <c r="AB59" s="26"/>
      <c r="AC59" s="26"/>
      <c r="AD59" s="105" t="s">
        <v>302</v>
      </c>
      <c r="AE59" s="105"/>
      <c r="AF59" s="108" t="s">
        <v>301</v>
      </c>
      <c r="AG59" s="26"/>
      <c r="AH59" s="26"/>
      <c r="AI59" s="26"/>
      <c r="AJ59" s="26"/>
      <c r="AK59" s="49" t="s">
        <v>562</v>
      </c>
      <c r="AL59" s="26" t="str">
        <f t="shared" si="0"/>
        <v>Warning</v>
      </c>
      <c r="AM59" s="50">
        <v>3</v>
      </c>
      <c r="AN59" s="26"/>
      <c r="AO59" s="26"/>
      <c r="AP59" s="26"/>
      <c r="AQ59" s="26"/>
      <c r="AR59" s="49">
        <f>IF($C$149,"M016",0)</f>
        <v>0</v>
      </c>
      <c r="AS59" s="49" t="str">
        <f>IF($C$147,"M017",0)</f>
        <v>M017</v>
      </c>
      <c r="AT59" s="26"/>
      <c r="AU59" s="123" t="str">
        <f>IF($C$138,"G057",0)</f>
        <v>G057</v>
      </c>
      <c r="AV59" s="26"/>
      <c r="AW59" s="26"/>
      <c r="AX59" s="26"/>
      <c r="AY59" s="136"/>
      <c r="AZ59" s="136" t="str">
        <f>VLOOKUP(E59,'H phrases'!$B$2:$C$98,2,FALSE)</f>
        <v>Harmful if inhaled.</v>
      </c>
      <c r="BA59" s="25" t="s">
        <v>2245</v>
      </c>
      <c r="BB59" s="338" t="s">
        <v>2272</v>
      </c>
      <c r="BC59" s="49" t="s">
        <v>2282</v>
      </c>
      <c r="BD59" s="336" t="s">
        <v>2273</v>
      </c>
    </row>
    <row r="60" spans="1:56" ht="165" x14ac:dyDescent="0.25">
      <c r="A60" s="93"/>
      <c r="B60" s="12" t="s">
        <v>192</v>
      </c>
      <c r="C60" s="208" t="s">
        <v>193</v>
      </c>
      <c r="D60" s="12" t="s">
        <v>239</v>
      </c>
      <c r="E60" s="137" t="s">
        <v>98</v>
      </c>
      <c r="F60" s="130" t="s">
        <v>282</v>
      </c>
      <c r="G60" s="100"/>
      <c r="H60" s="169" t="s">
        <v>806</v>
      </c>
      <c r="I60" s="105" t="str">
        <f>IF(C138,"P260",0)</f>
        <v>P260</v>
      </c>
      <c r="J60" s="111" t="s">
        <v>6</v>
      </c>
      <c r="K60" s="111" t="s">
        <v>30</v>
      </c>
      <c r="L60" s="104">
        <f>IF('gevaarljike stoffen'!$M$15="yes","P321",0)</f>
        <v>0</v>
      </c>
      <c r="M60" s="49" t="s">
        <v>100</v>
      </c>
      <c r="N60" s="26"/>
      <c r="O60" s="26"/>
      <c r="P60" s="49" t="s">
        <v>99</v>
      </c>
      <c r="Q60" s="26"/>
      <c r="R60" s="26"/>
      <c r="S60" s="26"/>
      <c r="T60" s="26"/>
      <c r="U60" s="26"/>
      <c r="V60" s="26"/>
      <c r="W60" s="51" t="s">
        <v>75</v>
      </c>
      <c r="X60" s="51" t="s">
        <v>558</v>
      </c>
      <c r="Y60" s="49" t="s">
        <v>82</v>
      </c>
      <c r="Z60" s="26"/>
      <c r="AA60" s="26"/>
      <c r="AB60" s="26"/>
      <c r="AC60" s="26"/>
      <c r="AD60" s="105"/>
      <c r="AE60" s="108"/>
      <c r="AF60" s="26"/>
      <c r="AG60" s="26"/>
      <c r="AH60" s="26"/>
      <c r="AI60" s="26"/>
      <c r="AJ60" s="49" t="s">
        <v>562</v>
      </c>
      <c r="AK60" s="49" t="s">
        <v>562</v>
      </c>
      <c r="AL60" s="26" t="str">
        <f t="shared" si="0"/>
        <v>Danger</v>
      </c>
      <c r="AM60" s="50">
        <v>3</v>
      </c>
      <c r="AN60" s="49"/>
      <c r="AO60" s="121" t="s">
        <v>744</v>
      </c>
      <c r="AP60" s="49" t="s">
        <v>751</v>
      </c>
      <c r="AQ60" s="49" t="s">
        <v>752</v>
      </c>
      <c r="AR60" s="26"/>
      <c r="AS60" s="26"/>
      <c r="AT60" s="49" t="s">
        <v>755</v>
      </c>
      <c r="AU60" s="123" t="str">
        <f>IF($C$138,"G057",0)</f>
        <v>G057</v>
      </c>
      <c r="AV60" s="26"/>
      <c r="AW60" s="26"/>
      <c r="AX60" s="26"/>
      <c r="AY60" s="136"/>
      <c r="AZ60" s="136" t="str">
        <f>VLOOKUP(E60,'H phrases'!$B$2:$C$98,2,FALSE)</f>
        <v>Causes severe skin burns and eye damage.</v>
      </c>
      <c r="BA60" s="25" t="s">
        <v>2247</v>
      </c>
      <c r="BB60" s="338" t="s">
        <v>2258</v>
      </c>
      <c r="BC60" s="339" t="s">
        <v>2346</v>
      </c>
      <c r="BD60" s="337" t="str">
        <f t="shared" ref="BD60:BD65" si="3">"when a waste contains one or more substance in concentrations above the cut-off value, that are classified as "&amp;E60&amp;" and one or more concentration limit is exceeded or equalled, the waste shall be classified as hazardous by HP4"</f>
        <v>when a waste contains one or more substance in concentrations above the cut-off value, that are classified as H314 and one or more concentration limit is exceeded or equalled, the waste shall be classified as hazardous by HP4</v>
      </c>
    </row>
    <row r="61" spans="1:56" x14ac:dyDescent="0.25">
      <c r="A61" s="94"/>
      <c r="B61" s="11"/>
      <c r="C61" s="208" t="s">
        <v>194</v>
      </c>
      <c r="D61" s="12" t="s">
        <v>239</v>
      </c>
      <c r="E61" s="137" t="s">
        <v>98</v>
      </c>
      <c r="F61" s="130" t="s">
        <v>282</v>
      </c>
      <c r="G61" s="100"/>
      <c r="H61" s="169" t="s">
        <v>806</v>
      </c>
      <c r="I61" s="105" t="str">
        <f>IF(C138,"P260",0)</f>
        <v>P260</v>
      </c>
      <c r="J61" s="111" t="s">
        <v>6</v>
      </c>
      <c r="K61" s="111" t="s">
        <v>30</v>
      </c>
      <c r="L61" s="104">
        <f>IF('gevaarljike stoffen'!$M$15="yes","P321",0)</f>
        <v>0</v>
      </c>
      <c r="M61" s="49" t="s">
        <v>100</v>
      </c>
      <c r="N61" s="26"/>
      <c r="O61" s="26"/>
      <c r="P61" s="49" t="s">
        <v>99</v>
      </c>
      <c r="Q61" s="26"/>
      <c r="R61" s="26"/>
      <c r="S61" s="26"/>
      <c r="T61" s="26"/>
      <c r="U61" s="26"/>
      <c r="V61" s="26"/>
      <c r="W61" s="51" t="s">
        <v>75</v>
      </c>
      <c r="X61" s="51" t="s">
        <v>558</v>
      </c>
      <c r="Y61" s="49" t="s">
        <v>82</v>
      </c>
      <c r="Z61" s="26"/>
      <c r="AA61" s="26"/>
      <c r="AB61" s="26"/>
      <c r="AC61" s="26"/>
      <c r="AD61" s="105"/>
      <c r="AE61" s="108"/>
      <c r="AF61" s="26"/>
      <c r="AG61" s="26"/>
      <c r="AH61" s="26"/>
      <c r="AI61" s="26"/>
      <c r="AJ61" s="49" t="s">
        <v>562</v>
      </c>
      <c r="AK61" s="49" t="s">
        <v>562</v>
      </c>
      <c r="AL61" s="26" t="str">
        <f t="shared" si="0"/>
        <v>Danger</v>
      </c>
      <c r="AM61" s="50">
        <v>3</v>
      </c>
      <c r="AN61" s="49"/>
      <c r="AO61" s="121" t="s">
        <v>744</v>
      </c>
      <c r="AP61" s="49" t="s">
        <v>751</v>
      </c>
      <c r="AQ61" s="49" t="s">
        <v>752</v>
      </c>
      <c r="AR61" s="26"/>
      <c r="AS61" s="26"/>
      <c r="AT61" s="49" t="s">
        <v>755</v>
      </c>
      <c r="AU61" s="123" t="str">
        <f>IF($C$138,"G057",0)</f>
        <v>G057</v>
      </c>
      <c r="AV61" s="26"/>
      <c r="AW61" s="26"/>
      <c r="AX61" s="26"/>
      <c r="AY61" s="136"/>
      <c r="AZ61" s="136" t="str">
        <f>VLOOKUP(E61,'H phrases'!$B$2:$C$98,2,FALSE)</f>
        <v>Causes severe skin burns and eye damage.</v>
      </c>
      <c r="BA61" s="25" t="s">
        <v>2247</v>
      </c>
      <c r="BB61" s="338" t="s">
        <v>2258</v>
      </c>
      <c r="BC61" s="339"/>
      <c r="BD61" s="337" t="str">
        <f t="shared" si="3"/>
        <v>when a waste contains one or more substance in concentrations above the cut-off value, that are classified as H314 and one or more concentration limit is exceeded or equalled, the waste shall be classified as hazardous by HP4</v>
      </c>
    </row>
    <row r="62" spans="1:56" x14ac:dyDescent="0.25">
      <c r="A62" s="94"/>
      <c r="B62" s="11"/>
      <c r="C62" s="208" t="s">
        <v>195</v>
      </c>
      <c r="D62" s="12" t="s">
        <v>239</v>
      </c>
      <c r="E62" s="137" t="s">
        <v>98</v>
      </c>
      <c r="F62" s="130" t="s">
        <v>282</v>
      </c>
      <c r="G62" s="100"/>
      <c r="H62" s="169" t="s">
        <v>806</v>
      </c>
      <c r="I62" s="105" t="str">
        <f>IF(C138,"P260",0)</f>
        <v>P260</v>
      </c>
      <c r="J62" s="111" t="s">
        <v>6</v>
      </c>
      <c r="K62" s="111" t="s">
        <v>30</v>
      </c>
      <c r="L62" s="104">
        <f>IF('gevaarljike stoffen'!$M$15="yes","P321",0)</f>
        <v>0</v>
      </c>
      <c r="M62" s="49" t="s">
        <v>100</v>
      </c>
      <c r="N62" s="26"/>
      <c r="O62" s="26"/>
      <c r="P62" s="49" t="s">
        <v>99</v>
      </c>
      <c r="Q62" s="26"/>
      <c r="R62" s="26"/>
      <c r="S62" s="26"/>
      <c r="T62" s="26"/>
      <c r="U62" s="26"/>
      <c r="V62" s="26"/>
      <c r="W62" s="51" t="s">
        <v>75</v>
      </c>
      <c r="X62" s="51" t="s">
        <v>558</v>
      </c>
      <c r="Y62" s="49" t="s">
        <v>82</v>
      </c>
      <c r="Z62" s="26"/>
      <c r="AA62" s="26"/>
      <c r="AB62" s="26"/>
      <c r="AC62" s="26"/>
      <c r="AD62" s="105"/>
      <c r="AE62" s="108"/>
      <c r="AF62" s="26"/>
      <c r="AG62" s="26"/>
      <c r="AH62" s="26"/>
      <c r="AI62" s="26"/>
      <c r="AJ62" s="49" t="s">
        <v>562</v>
      </c>
      <c r="AK62" s="49" t="s">
        <v>562</v>
      </c>
      <c r="AL62" s="26" t="str">
        <f t="shared" si="0"/>
        <v>Danger</v>
      </c>
      <c r="AM62" s="50">
        <v>3</v>
      </c>
      <c r="AN62" s="49"/>
      <c r="AO62" s="121" t="s">
        <v>744</v>
      </c>
      <c r="AP62" s="49" t="s">
        <v>751</v>
      </c>
      <c r="AQ62" s="49" t="s">
        <v>752</v>
      </c>
      <c r="AR62" s="26"/>
      <c r="AS62" s="26"/>
      <c r="AT62" s="49" t="s">
        <v>755</v>
      </c>
      <c r="AU62" s="123" t="str">
        <f>IF($C$138,"G057",0)</f>
        <v>G057</v>
      </c>
      <c r="AV62" s="26"/>
      <c r="AW62" s="26"/>
      <c r="AX62" s="26"/>
      <c r="AY62" s="136"/>
      <c r="AZ62" s="136" t="str">
        <f>VLOOKUP(E62,'H phrases'!$B$2:$C$98,2,FALSE)</f>
        <v>Causes severe skin burns and eye damage.</v>
      </c>
      <c r="BA62" s="25" t="s">
        <v>2247</v>
      </c>
      <c r="BB62" s="338" t="s">
        <v>2258</v>
      </c>
      <c r="BC62" s="339"/>
      <c r="BD62" s="337" t="str">
        <f t="shared" si="3"/>
        <v>when a waste contains one or more substance in concentrations above the cut-off value, that are classified as H314 and one or more concentration limit is exceeded or equalled, the waste shall be classified as hazardous by HP4</v>
      </c>
    </row>
    <row r="63" spans="1:56" x14ac:dyDescent="0.25">
      <c r="A63" s="94"/>
      <c r="B63" s="11"/>
      <c r="C63" s="208" t="s">
        <v>196</v>
      </c>
      <c r="D63" s="12" t="s">
        <v>244</v>
      </c>
      <c r="E63" s="137" t="s">
        <v>101</v>
      </c>
      <c r="F63" s="130" t="s">
        <v>284</v>
      </c>
      <c r="G63" s="100"/>
      <c r="H63" s="167"/>
      <c r="I63" s="104">
        <f>IF('gevaarljike stoffen'!$M$15="yes","P321",0)</f>
        <v>0</v>
      </c>
      <c r="J63" s="26"/>
      <c r="K63" s="26"/>
      <c r="L63" s="26"/>
      <c r="M63" s="26"/>
      <c r="N63" s="26"/>
      <c r="O63" s="26"/>
      <c r="P63" s="42" t="s">
        <v>6</v>
      </c>
      <c r="Q63" s="26"/>
      <c r="R63" s="26"/>
      <c r="S63" s="26"/>
      <c r="T63" s="26"/>
      <c r="U63" s="26"/>
      <c r="V63" s="26"/>
      <c r="W63" s="51" t="s">
        <v>70</v>
      </c>
      <c r="X63" s="51" t="s">
        <v>467</v>
      </c>
      <c r="Y63" s="41" t="s">
        <v>102</v>
      </c>
      <c r="Z63" s="26"/>
      <c r="AA63" s="26"/>
      <c r="AB63" s="26"/>
      <c r="AC63" s="26"/>
      <c r="AD63" s="108"/>
      <c r="AE63" s="26"/>
      <c r="AF63" s="26"/>
      <c r="AG63" s="26"/>
      <c r="AH63" s="26"/>
      <c r="AI63" s="26"/>
      <c r="AJ63" s="26"/>
      <c r="AK63" s="26"/>
      <c r="AL63" s="26" t="str">
        <f t="shared" si="0"/>
        <v>Warning</v>
      </c>
      <c r="AM63" s="176">
        <v>2</v>
      </c>
      <c r="AN63" s="26"/>
      <c r="AO63" s="121" t="s">
        <v>744</v>
      </c>
      <c r="AP63" s="49" t="s">
        <v>751</v>
      </c>
      <c r="AQ63" s="49" t="s">
        <v>752</v>
      </c>
      <c r="AR63" s="26"/>
      <c r="AS63" s="26"/>
      <c r="AT63" s="49" t="s">
        <v>755</v>
      </c>
      <c r="AU63" s="26"/>
      <c r="AV63" s="26"/>
      <c r="AW63" s="26"/>
      <c r="AX63" s="26"/>
      <c r="AY63" s="136"/>
      <c r="AZ63" s="136" t="str">
        <f>VLOOKUP(E63,'H phrases'!$B$2:$C$98,2,FALSE)</f>
        <v>Causes skin irritation.</v>
      </c>
      <c r="BA63" s="25" t="s">
        <v>2243</v>
      </c>
      <c r="BB63" s="338" t="s">
        <v>2259</v>
      </c>
      <c r="BC63" s="49" t="s">
        <v>2283</v>
      </c>
      <c r="BD63" s="337" t="str">
        <f t="shared" si="3"/>
        <v>when a waste contains one or more substance in concentrations above the cut-off value, that are classified as H315 and one or more concentration limit is exceeded or equalled, the waste shall be classified as hazardous by HP4</v>
      </c>
    </row>
    <row r="64" spans="1:56" x14ac:dyDescent="0.25">
      <c r="A64" s="94"/>
      <c r="B64" s="12" t="s">
        <v>197</v>
      </c>
      <c r="C64" s="208" t="s">
        <v>198</v>
      </c>
      <c r="D64" s="12" t="s">
        <v>239</v>
      </c>
      <c r="E64" s="137" t="s">
        <v>103</v>
      </c>
      <c r="F64" s="130" t="s">
        <v>282</v>
      </c>
      <c r="G64" s="100"/>
      <c r="H64" s="167"/>
      <c r="I64" s="49" t="s">
        <v>6</v>
      </c>
      <c r="J64" s="103" t="s">
        <v>100</v>
      </c>
      <c r="K64" s="103" t="s">
        <v>82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 t="str">
        <f t="shared" si="0"/>
        <v>Danger</v>
      </c>
      <c r="AM64" s="176">
        <v>4</v>
      </c>
      <c r="AN64" s="49" t="s">
        <v>743</v>
      </c>
      <c r="AO64" s="26"/>
      <c r="AP64" s="26"/>
      <c r="AQ64" s="26"/>
      <c r="AR64" s="26"/>
      <c r="AS64" s="26"/>
      <c r="AT64" s="49" t="s">
        <v>755</v>
      </c>
      <c r="AU64" s="26"/>
      <c r="AV64" s="26"/>
      <c r="AW64" s="26"/>
      <c r="AX64" s="26"/>
      <c r="AY64" s="136"/>
      <c r="AZ64" s="136" t="str">
        <f>VLOOKUP(E64,'H phrases'!$B$2:$C$98,2,FALSE)</f>
        <v>Causes serious eye damage.</v>
      </c>
      <c r="BA64" s="25" t="s">
        <v>2243</v>
      </c>
      <c r="BB64" s="338" t="s">
        <v>2260</v>
      </c>
      <c r="BC64" s="49" t="s">
        <v>2284</v>
      </c>
      <c r="BD64" s="337" t="str">
        <f t="shared" si="3"/>
        <v>when a waste contains one or more substance in concentrations above the cut-off value, that are classified as H318 and one or more concentration limit is exceeded or equalled, the waste shall be classified as hazardous by HP4</v>
      </c>
    </row>
    <row r="65" spans="1:56" x14ac:dyDescent="0.25">
      <c r="A65" s="93"/>
      <c r="B65" s="11"/>
      <c r="C65" s="208" t="s">
        <v>199</v>
      </c>
      <c r="D65" s="12" t="s">
        <v>244</v>
      </c>
      <c r="E65" s="137" t="s">
        <v>104</v>
      </c>
      <c r="F65" s="130" t="s">
        <v>284</v>
      </c>
      <c r="G65" s="100"/>
      <c r="H65" s="167"/>
      <c r="I65" s="26"/>
      <c r="J65" s="26"/>
      <c r="K65" s="26"/>
      <c r="L65" s="26"/>
      <c r="M65" s="26"/>
      <c r="N65" s="26"/>
      <c r="O65" s="26"/>
      <c r="P65" s="49" t="s">
        <v>6</v>
      </c>
      <c r="Q65" s="49" t="s">
        <v>304</v>
      </c>
      <c r="R65" s="26"/>
      <c r="S65" s="26"/>
      <c r="T65" s="26"/>
      <c r="U65" s="26"/>
      <c r="V65" s="26"/>
      <c r="W65" s="107" t="s">
        <v>70</v>
      </c>
      <c r="X65" s="107" t="s">
        <v>303</v>
      </c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 t="str">
        <f t="shared" si="0"/>
        <v>Warning</v>
      </c>
      <c r="AM65" s="176">
        <v>2</v>
      </c>
      <c r="AN65" s="49" t="s">
        <v>743</v>
      </c>
      <c r="AO65" s="26"/>
      <c r="AP65" s="26"/>
      <c r="AQ65" s="26"/>
      <c r="AR65" s="26"/>
      <c r="AS65" s="26"/>
      <c r="AT65" s="49" t="s">
        <v>755</v>
      </c>
      <c r="AU65" s="26"/>
      <c r="AV65" s="26"/>
      <c r="AW65" s="26"/>
      <c r="AX65" s="26"/>
      <c r="AY65" s="136"/>
      <c r="AZ65" s="136" t="str">
        <f>VLOOKUP(E65,'H phrases'!$B$2:$C$98,2,FALSE)</f>
        <v>Causes serious eye irritation.</v>
      </c>
      <c r="BA65" s="25" t="s">
        <v>2243</v>
      </c>
      <c r="BB65" s="338" t="s">
        <v>2261</v>
      </c>
      <c r="BC65" s="49" t="s">
        <v>2285</v>
      </c>
      <c r="BD65" s="337" t="str">
        <f t="shared" si="3"/>
        <v>when a waste contains one or more substance in concentrations above the cut-off value, that are classified as H319 and one or more concentration limit is exceeded or equalled, the waste shall be classified as hazardous by HP4</v>
      </c>
    </row>
    <row r="66" spans="1:56" x14ac:dyDescent="0.25">
      <c r="A66" s="94"/>
      <c r="B66" s="12" t="s">
        <v>200</v>
      </c>
      <c r="C66" s="208" t="s">
        <v>201</v>
      </c>
      <c r="D66" s="12" t="s">
        <v>239</v>
      </c>
      <c r="E66" s="137" t="s">
        <v>106</v>
      </c>
      <c r="F66" s="130" t="s">
        <v>285</v>
      </c>
      <c r="G66" s="100"/>
      <c r="H66" s="168" t="s">
        <v>235</v>
      </c>
      <c r="I66" s="105" t="str">
        <f>IF(C138,"P261",0)</f>
        <v>P261</v>
      </c>
      <c r="J66" s="112" t="s">
        <v>107</v>
      </c>
      <c r="K66" s="110" t="s">
        <v>108</v>
      </c>
      <c r="L66" s="49" t="s">
        <v>489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105"/>
      <c r="AE66" s="105" t="s">
        <v>305</v>
      </c>
      <c r="AF66" s="105" t="s">
        <v>306</v>
      </c>
      <c r="AG66" s="110" t="s">
        <v>307</v>
      </c>
      <c r="AH66" s="26"/>
      <c r="AI66" s="26"/>
      <c r="AJ66" s="26"/>
      <c r="AK66" s="49" t="s">
        <v>562</v>
      </c>
      <c r="AL66" s="26" t="str">
        <f t="shared" si="0"/>
        <v>Danger</v>
      </c>
      <c r="AM66" s="50">
        <v>4</v>
      </c>
      <c r="AN66" s="49"/>
      <c r="AO66" s="49"/>
      <c r="AP66" s="26"/>
      <c r="AQ66" s="26"/>
      <c r="AR66" s="49" t="s">
        <v>753</v>
      </c>
      <c r="AS66" s="49"/>
      <c r="AT66" s="26"/>
      <c r="AU66" s="123" t="str">
        <f>IF($C$138,"G057",0)</f>
        <v>G057</v>
      </c>
      <c r="AV66" s="26"/>
      <c r="AW66" s="26"/>
      <c r="AX66" s="26"/>
      <c r="AY66" s="136"/>
      <c r="AZ66" s="136" t="str">
        <f>VLOOKUP(E66,'H phrases'!$B$2:$C$98,2,FALSE)</f>
        <v>May cause allergy or asthma symptoms or breathing difficulties if inhaled.</v>
      </c>
      <c r="BA66" s="25" t="s">
        <v>2251</v>
      </c>
      <c r="BB66" s="335"/>
      <c r="BC66" s="49" t="s">
        <v>2304</v>
      </c>
      <c r="BD66" s="336" t="s">
        <v>2307</v>
      </c>
    </row>
    <row r="67" spans="1:56" x14ac:dyDescent="0.25">
      <c r="A67" s="93"/>
      <c r="B67" s="11"/>
      <c r="C67" s="208" t="s">
        <v>202</v>
      </c>
      <c r="D67" s="12" t="s">
        <v>244</v>
      </c>
      <c r="E67" s="137" t="s">
        <v>269</v>
      </c>
      <c r="F67" s="130" t="s">
        <v>284</v>
      </c>
      <c r="G67" s="100"/>
      <c r="H67" s="169" t="s">
        <v>806</v>
      </c>
      <c r="I67" s="105" t="str">
        <f>IF(C138,"P261",0)</f>
        <v>P261</v>
      </c>
      <c r="J67" s="104">
        <f>IF('gevaarljike stoffen'!$M$15="yes","P321",0)</f>
        <v>0</v>
      </c>
      <c r="K67" s="49" t="s">
        <v>6</v>
      </c>
      <c r="L67" s="26"/>
      <c r="M67" s="26"/>
      <c r="N67" s="26"/>
      <c r="O67" s="26"/>
      <c r="P67" s="49" t="s">
        <v>110</v>
      </c>
      <c r="Q67" s="49" t="s">
        <v>85</v>
      </c>
      <c r="R67" s="26"/>
      <c r="S67" s="26"/>
      <c r="T67" s="26"/>
      <c r="U67" s="26"/>
      <c r="V67" s="26"/>
      <c r="W67" s="107" t="s">
        <v>109</v>
      </c>
      <c r="X67" s="26"/>
      <c r="Y67" s="26"/>
      <c r="Z67" s="26"/>
      <c r="AA67" s="26"/>
      <c r="AB67" s="26"/>
      <c r="AC67" s="26"/>
      <c r="AD67" s="105"/>
      <c r="AE67" s="108"/>
      <c r="AF67" s="26"/>
      <c r="AG67" s="26"/>
      <c r="AH67" s="26"/>
      <c r="AI67" s="26"/>
      <c r="AJ67" s="26"/>
      <c r="AK67" s="26"/>
      <c r="AL67" s="26" t="str">
        <f t="shared" si="0"/>
        <v>Warning</v>
      </c>
      <c r="AM67" s="176">
        <v>4</v>
      </c>
      <c r="AN67" s="49"/>
      <c r="AO67" s="121" t="s">
        <v>744</v>
      </c>
      <c r="AP67" s="49" t="s">
        <v>751</v>
      </c>
      <c r="AQ67" s="49" t="s">
        <v>752</v>
      </c>
      <c r="AR67" s="26"/>
      <c r="AS67" s="26"/>
      <c r="AT67" s="49" t="s">
        <v>755</v>
      </c>
      <c r="AU67" s="123" t="str">
        <f>IF($C$138,"G057",0)</f>
        <v>G057</v>
      </c>
      <c r="AV67" s="26"/>
      <c r="AW67" s="26"/>
      <c r="AX67" s="26"/>
      <c r="AY67" s="136"/>
      <c r="AZ67" s="136" t="str">
        <f>VLOOKUP(E67,'H phrases'!$B$2:$C$98,2,FALSE)</f>
        <v>May cause an allergic skin reaction.</v>
      </c>
      <c r="BA67" s="25" t="s">
        <v>2251</v>
      </c>
      <c r="BB67" s="335"/>
      <c r="BC67" s="49" t="s">
        <v>2305</v>
      </c>
      <c r="BD67" s="336" t="s">
        <v>2306</v>
      </c>
    </row>
    <row r="68" spans="1:56" x14ac:dyDescent="0.25">
      <c r="A68" s="94"/>
      <c r="B68" s="12" t="s">
        <v>203</v>
      </c>
      <c r="C68" s="208" t="s">
        <v>204</v>
      </c>
      <c r="D68" s="12" t="s">
        <v>239</v>
      </c>
      <c r="E68" s="141" t="s">
        <v>111</v>
      </c>
      <c r="F68" s="131" t="s">
        <v>285</v>
      </c>
      <c r="G68" s="122"/>
      <c r="H68" s="170" t="s">
        <v>235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26" t="str">
        <f t="shared" ref="AL68:AL128" si="4">D68</f>
        <v>Danger</v>
      </c>
      <c r="AM68" s="177">
        <v>5</v>
      </c>
      <c r="AN68" s="123"/>
      <c r="AO68" s="123">
        <f>IF($B$133="Oral",0,IF($B$133="Dermal","M013",IF($B$133="Inhalation",0,0)))</f>
        <v>0</v>
      </c>
      <c r="AP68" s="124" t="s">
        <v>751</v>
      </c>
      <c r="AQ68" s="123">
        <f>IF($B$133="Oral",0,IF($B$133="Dermal","M010",IF($B$133="Inhalation",0,0)))</f>
        <v>0</v>
      </c>
      <c r="AR68" s="123">
        <f t="shared" ref="AR68:AR92" si="5">IF($B$133="Oral",0,IF($B$133="Dermal",0,IF($B$133="Inhalation",IF($C$149,"M016",0),0)))</f>
        <v>0</v>
      </c>
      <c r="AS68" s="123">
        <f t="shared" ref="AS68:AS92" si="6">IF($B$133="Oral",0,IF($B$133="Dermal",0,IF($B$133="Inhalation",IF($C$147,"M017",0),0)))</f>
        <v>0</v>
      </c>
      <c r="AT68" s="124" t="s">
        <v>755</v>
      </c>
      <c r="AU68" s="123" t="str">
        <f>IF($C$138,"G057",0)</f>
        <v>G057</v>
      </c>
      <c r="AV68" s="123"/>
      <c r="AW68" s="123"/>
      <c r="AX68" s="123"/>
      <c r="AY68" s="297"/>
      <c r="AZ68" s="136" t="str">
        <f>VLOOKUP(E68,'H phrases'!$B$2:$C$98,2,FALSE)</f>
        <v>May cause genetic defects &lt;state route of exposure if it is conclusively proven that no other routes of exposure cause the hazard&gt;.</v>
      </c>
      <c r="BA68" s="25" t="s">
        <v>2249</v>
      </c>
      <c r="BB68" s="335"/>
      <c r="BC68" s="49" t="s">
        <v>2298</v>
      </c>
      <c r="BD68" s="336" t="s">
        <v>2300</v>
      </c>
    </row>
    <row r="69" spans="1:56" x14ac:dyDescent="0.25">
      <c r="A69" s="93"/>
      <c r="B69" s="11"/>
      <c r="C69" s="208" t="s">
        <v>205</v>
      </c>
      <c r="D69" s="12" t="s">
        <v>239</v>
      </c>
      <c r="E69" s="141" t="s">
        <v>111</v>
      </c>
      <c r="F69" s="131" t="s">
        <v>285</v>
      </c>
      <c r="G69" s="122"/>
      <c r="H69" s="170" t="s">
        <v>235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26" t="str">
        <f t="shared" si="4"/>
        <v>Danger</v>
      </c>
      <c r="AM69" s="177">
        <v>5</v>
      </c>
      <c r="AN69" s="123"/>
      <c r="AO69" s="123">
        <f>IF($B$133="Oral",0,IF($B$133="Dermal","M013",IF($B$133="Inhalation",0,0)))</f>
        <v>0</v>
      </c>
      <c r="AP69" s="124" t="s">
        <v>751</v>
      </c>
      <c r="AQ69" s="123">
        <f>IF($B$133="Oral",0,IF($B$133="Dermal","M010",IF($B$133="Inhalation",0,0)))</f>
        <v>0</v>
      </c>
      <c r="AR69" s="123">
        <f t="shared" si="5"/>
        <v>0</v>
      </c>
      <c r="AS69" s="123">
        <f t="shared" si="6"/>
        <v>0</v>
      </c>
      <c r="AT69" s="124" t="s">
        <v>755</v>
      </c>
      <c r="AU69" s="123" t="str">
        <f t="shared" ref="AU69:AU92" si="7">IF($C$138,"G057",0)</f>
        <v>G057</v>
      </c>
      <c r="AV69" s="123"/>
      <c r="AW69" s="123"/>
      <c r="AX69" s="123"/>
      <c r="AY69" s="297"/>
      <c r="AZ69" s="136" t="str">
        <f>VLOOKUP(E69,'H phrases'!$B$2:$C$98,2,FALSE)</f>
        <v>May cause genetic defects &lt;state route of exposure if it is conclusively proven that no other routes of exposure cause the hazard&gt;.</v>
      </c>
      <c r="BA69" s="25" t="s">
        <v>2249</v>
      </c>
      <c r="BB69" s="335"/>
      <c r="BC69" s="26"/>
      <c r="BD69" s="336" t="s">
        <v>2300</v>
      </c>
    </row>
    <row r="70" spans="1:56" x14ac:dyDescent="0.25">
      <c r="A70" s="94"/>
      <c r="B70" s="11"/>
      <c r="C70" s="208" t="s">
        <v>206</v>
      </c>
      <c r="D70" s="12" t="s">
        <v>244</v>
      </c>
      <c r="E70" s="141" t="s">
        <v>113</v>
      </c>
      <c r="F70" s="131" t="s">
        <v>285</v>
      </c>
      <c r="G70" s="122"/>
      <c r="H70" s="168" t="s">
        <v>235</v>
      </c>
      <c r="I70" s="124" t="s">
        <v>2</v>
      </c>
      <c r="J70" s="123"/>
      <c r="K70" s="123"/>
      <c r="L70" s="123"/>
      <c r="M70" s="123"/>
      <c r="N70" s="123"/>
      <c r="O70" s="123"/>
      <c r="P70" s="124" t="s">
        <v>0</v>
      </c>
      <c r="Q70" s="124" t="s">
        <v>112</v>
      </c>
      <c r="R70" s="123"/>
      <c r="S70" s="123"/>
      <c r="T70" s="123"/>
      <c r="U70" s="123"/>
      <c r="V70" s="123"/>
      <c r="W70" s="124" t="s">
        <v>1</v>
      </c>
      <c r="X70" s="124" t="s">
        <v>75</v>
      </c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4" t="s">
        <v>562</v>
      </c>
      <c r="AL70" s="26" t="str">
        <f t="shared" si="4"/>
        <v>Warning</v>
      </c>
      <c r="AM70" s="178">
        <v>4</v>
      </c>
      <c r="AN70" s="123"/>
      <c r="AO70" s="123">
        <f t="shared" ref="AO70:AO92" si="8">IF($B$133="Oral",0,IF($B$133="Dermal","M013",IF($B$133="Inhalation",0,0)))</f>
        <v>0</v>
      </c>
      <c r="AP70" s="124" t="s">
        <v>751</v>
      </c>
      <c r="AQ70" s="123">
        <f t="shared" ref="AQ70:AQ92" si="9">IF($B$133="Oral",0,IF($B$133="Dermal","M010",IF($B$133="Inhalation",0,0)))</f>
        <v>0</v>
      </c>
      <c r="AR70" s="123">
        <f t="shared" si="5"/>
        <v>0</v>
      </c>
      <c r="AS70" s="123">
        <f t="shared" si="6"/>
        <v>0</v>
      </c>
      <c r="AT70" s="124" t="s">
        <v>755</v>
      </c>
      <c r="AU70" s="123" t="str">
        <f t="shared" si="7"/>
        <v>G057</v>
      </c>
      <c r="AV70" s="123"/>
      <c r="AW70" s="123"/>
      <c r="AX70" s="123"/>
      <c r="AY70" s="297"/>
      <c r="AZ70" s="136" t="str">
        <f>VLOOKUP(E70,'H phrases'!$B$2:$C$98,2,FALSE)</f>
        <v>Suspected of causing genetic defects &lt;state route of exposure if it is conclusively proven that no other routes of exposure cause the hazard&gt;.</v>
      </c>
      <c r="BA70" s="25" t="s">
        <v>2249</v>
      </c>
      <c r="BB70" s="335"/>
      <c r="BC70" s="49" t="s">
        <v>2299</v>
      </c>
      <c r="BD70" s="336" t="s">
        <v>2300</v>
      </c>
    </row>
    <row r="71" spans="1:56" x14ac:dyDescent="0.25">
      <c r="A71" s="93"/>
      <c r="B71" s="12" t="s">
        <v>207</v>
      </c>
      <c r="C71" s="208" t="s">
        <v>208</v>
      </c>
      <c r="D71" s="12" t="s">
        <v>239</v>
      </c>
      <c r="E71" s="141" t="s">
        <v>114</v>
      </c>
      <c r="F71" s="131" t="s">
        <v>285</v>
      </c>
      <c r="G71" s="122"/>
      <c r="H71" s="170" t="s">
        <v>235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26" t="str">
        <f t="shared" si="4"/>
        <v>Danger</v>
      </c>
      <c r="AM71" s="177">
        <v>5</v>
      </c>
      <c r="AN71" s="123"/>
      <c r="AO71" s="123">
        <f t="shared" si="8"/>
        <v>0</v>
      </c>
      <c r="AP71" s="124" t="s">
        <v>751</v>
      </c>
      <c r="AQ71" s="123">
        <f t="shared" si="9"/>
        <v>0</v>
      </c>
      <c r="AR71" s="123">
        <f t="shared" si="5"/>
        <v>0</v>
      </c>
      <c r="AS71" s="123">
        <f t="shared" si="6"/>
        <v>0</v>
      </c>
      <c r="AT71" s="124" t="s">
        <v>755</v>
      </c>
      <c r="AU71" s="123" t="str">
        <f t="shared" si="7"/>
        <v>G057</v>
      </c>
      <c r="AV71" s="123"/>
      <c r="AW71" s="123"/>
      <c r="AX71" s="123"/>
      <c r="AY71" s="297"/>
      <c r="AZ71" s="136" t="str">
        <f>VLOOKUP(E71,'H phrases'!$B$2:$C$98,2,FALSE)</f>
        <v>May cause cancer &lt;state route of exposure if it is conclusively proven that no other routes of exposure cause the hazard&gt;.</v>
      </c>
      <c r="BA71" s="25" t="s">
        <v>2246</v>
      </c>
      <c r="BB71" s="335"/>
      <c r="BC71" s="49" t="s">
        <v>2292</v>
      </c>
      <c r="BD71" s="336" t="s">
        <v>2294</v>
      </c>
    </row>
    <row r="72" spans="1:56" x14ac:dyDescent="0.25">
      <c r="A72" s="94"/>
      <c r="B72" s="11"/>
      <c r="C72" s="208" t="s">
        <v>209</v>
      </c>
      <c r="D72" s="12" t="s">
        <v>239</v>
      </c>
      <c r="E72" s="141" t="s">
        <v>114</v>
      </c>
      <c r="F72" s="131" t="s">
        <v>285</v>
      </c>
      <c r="G72" s="122"/>
      <c r="H72" s="170" t="s">
        <v>235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26" t="str">
        <f t="shared" si="4"/>
        <v>Danger</v>
      </c>
      <c r="AM72" s="177">
        <v>5</v>
      </c>
      <c r="AN72" s="123"/>
      <c r="AO72" s="123">
        <f t="shared" si="8"/>
        <v>0</v>
      </c>
      <c r="AP72" s="124" t="s">
        <v>751</v>
      </c>
      <c r="AQ72" s="123">
        <f t="shared" si="9"/>
        <v>0</v>
      </c>
      <c r="AR72" s="123">
        <f t="shared" si="5"/>
        <v>0</v>
      </c>
      <c r="AS72" s="123">
        <f t="shared" si="6"/>
        <v>0</v>
      </c>
      <c r="AT72" s="124" t="s">
        <v>755</v>
      </c>
      <c r="AU72" s="123" t="str">
        <f t="shared" si="7"/>
        <v>G057</v>
      </c>
      <c r="AV72" s="123"/>
      <c r="AW72" s="123"/>
      <c r="AX72" s="123"/>
      <c r="AY72" s="297"/>
      <c r="AZ72" s="136" t="str">
        <f>VLOOKUP(E72,'H phrases'!$B$2:$C$98,2,FALSE)</f>
        <v>May cause cancer &lt;state route of exposure if it is conclusively proven that no other routes of exposure cause the hazard&gt;.</v>
      </c>
      <c r="BA72" s="25" t="s">
        <v>2246</v>
      </c>
      <c r="BB72" s="335"/>
      <c r="BC72" s="26" t="s">
        <v>2292</v>
      </c>
      <c r="BD72" s="336" t="s">
        <v>2294</v>
      </c>
    </row>
    <row r="73" spans="1:56" x14ac:dyDescent="0.25">
      <c r="A73" s="94"/>
      <c r="B73" s="11"/>
      <c r="C73" s="208" t="s">
        <v>210</v>
      </c>
      <c r="D73" s="12" t="s">
        <v>244</v>
      </c>
      <c r="E73" s="141" t="s">
        <v>270</v>
      </c>
      <c r="F73" s="131" t="s">
        <v>285</v>
      </c>
      <c r="G73" s="122"/>
      <c r="H73" s="168" t="s">
        <v>235</v>
      </c>
      <c r="I73" s="124" t="s">
        <v>2</v>
      </c>
      <c r="J73" s="123"/>
      <c r="K73" s="123"/>
      <c r="L73" s="123"/>
      <c r="M73" s="123"/>
      <c r="N73" s="123"/>
      <c r="O73" s="123"/>
      <c r="P73" s="124" t="s">
        <v>0</v>
      </c>
      <c r="Q73" s="124" t="s">
        <v>112</v>
      </c>
      <c r="R73" s="123"/>
      <c r="S73" s="123"/>
      <c r="T73" s="123"/>
      <c r="U73" s="123"/>
      <c r="V73" s="123"/>
      <c r="W73" s="124" t="s">
        <v>1</v>
      </c>
      <c r="X73" s="124" t="s">
        <v>75</v>
      </c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 t="s">
        <v>562</v>
      </c>
      <c r="AL73" s="26" t="str">
        <f t="shared" si="4"/>
        <v>Warning</v>
      </c>
      <c r="AM73" s="178">
        <v>4</v>
      </c>
      <c r="AN73" s="123"/>
      <c r="AO73" s="123">
        <f t="shared" si="8"/>
        <v>0</v>
      </c>
      <c r="AP73" s="124" t="s">
        <v>751</v>
      </c>
      <c r="AQ73" s="123">
        <f t="shared" si="9"/>
        <v>0</v>
      </c>
      <c r="AR73" s="123">
        <f t="shared" si="5"/>
        <v>0</v>
      </c>
      <c r="AS73" s="123">
        <f t="shared" si="6"/>
        <v>0</v>
      </c>
      <c r="AT73" s="124" t="s">
        <v>755</v>
      </c>
      <c r="AU73" s="123" t="str">
        <f t="shared" si="7"/>
        <v>G057</v>
      </c>
      <c r="AV73" s="123"/>
      <c r="AW73" s="123"/>
      <c r="AX73" s="123"/>
      <c r="AY73" s="297"/>
      <c r="AZ73" s="136" t="str">
        <f>VLOOKUP(E73,'H phrases'!$B$2:$C$98,2,FALSE)</f>
        <v>Suspected of causing cancer &lt;state route of exposure if it is conclusively proven that no other routs of exposure cause the hazard&gt;.</v>
      </c>
      <c r="BA73" s="25" t="s">
        <v>2246</v>
      </c>
      <c r="BB73" s="335"/>
      <c r="BC73" s="49" t="s">
        <v>2293</v>
      </c>
      <c r="BD73" s="336" t="s">
        <v>2294</v>
      </c>
    </row>
    <row r="74" spans="1:56" x14ac:dyDescent="0.25">
      <c r="A74" s="94"/>
      <c r="B74" s="12" t="s">
        <v>211</v>
      </c>
      <c r="C74" s="208" t="s">
        <v>212</v>
      </c>
      <c r="D74" s="12" t="s">
        <v>239</v>
      </c>
      <c r="E74" s="142" t="s">
        <v>271</v>
      </c>
      <c r="F74" s="131" t="s">
        <v>285</v>
      </c>
      <c r="G74" s="122"/>
      <c r="H74" s="170" t="s">
        <v>235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26" t="str">
        <f t="shared" si="4"/>
        <v>Danger</v>
      </c>
      <c r="AM74" s="177">
        <v>4</v>
      </c>
      <c r="AN74" s="123"/>
      <c r="AO74" s="123">
        <f t="shared" si="8"/>
        <v>0</v>
      </c>
      <c r="AP74" s="124" t="s">
        <v>751</v>
      </c>
      <c r="AQ74" s="123">
        <f t="shared" si="9"/>
        <v>0</v>
      </c>
      <c r="AR74" s="123">
        <f t="shared" si="5"/>
        <v>0</v>
      </c>
      <c r="AS74" s="123">
        <f t="shared" si="6"/>
        <v>0</v>
      </c>
      <c r="AT74" s="124" t="s">
        <v>755</v>
      </c>
      <c r="AU74" s="123" t="str">
        <f t="shared" si="7"/>
        <v>G057</v>
      </c>
      <c r="AV74" s="123"/>
      <c r="AW74" s="123"/>
      <c r="AX74" s="123"/>
      <c r="AY74" s="297"/>
      <c r="AZ74" s="136" t="str">
        <f>VLOOKUP(E74,'H phrases'!$B$2:$C$98,2,FALSE)</f>
        <v xml:space="preserve"> May damage fertility or the unborn child (state specific effect if known)(state route of exposure if it is conclusively proven that no other routes of exposure cause the hazard)</v>
      </c>
      <c r="BA74" s="25" t="s">
        <v>2248</v>
      </c>
      <c r="BB74" s="335"/>
      <c r="BC74" s="49" t="s">
        <v>2295</v>
      </c>
      <c r="BD74" s="336" t="s">
        <v>2297</v>
      </c>
    </row>
    <row r="75" spans="1:56" x14ac:dyDescent="0.25">
      <c r="A75" s="94"/>
      <c r="B75" s="12"/>
      <c r="C75" s="208" t="s">
        <v>212</v>
      </c>
      <c r="D75" s="12" t="s">
        <v>239</v>
      </c>
      <c r="E75" s="142" t="s">
        <v>703</v>
      </c>
      <c r="F75" s="131" t="s">
        <v>285</v>
      </c>
      <c r="G75" s="122"/>
      <c r="H75" s="170" t="s">
        <v>235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26" t="str">
        <f t="shared" si="4"/>
        <v>Danger</v>
      </c>
      <c r="AM75" s="177">
        <v>4</v>
      </c>
      <c r="AN75" s="123"/>
      <c r="AO75" s="123">
        <f t="shared" si="8"/>
        <v>0</v>
      </c>
      <c r="AP75" s="124" t="s">
        <v>751</v>
      </c>
      <c r="AQ75" s="123">
        <f t="shared" si="9"/>
        <v>0</v>
      </c>
      <c r="AR75" s="123">
        <f t="shared" si="5"/>
        <v>0</v>
      </c>
      <c r="AS75" s="123">
        <f t="shared" si="6"/>
        <v>0</v>
      </c>
      <c r="AT75" s="124" t="s">
        <v>755</v>
      </c>
      <c r="AU75" s="123" t="str">
        <f t="shared" si="7"/>
        <v>G057</v>
      </c>
      <c r="AV75" s="123"/>
      <c r="AW75" s="123"/>
      <c r="AX75" s="123"/>
      <c r="AY75" s="297"/>
      <c r="AZ75" s="136" t="str">
        <f>VLOOKUP(E75,'H phrases'!$B$2:$C$98,2,FALSE)</f>
        <v xml:space="preserve"> May damage fertility</v>
      </c>
      <c r="BA75" s="25" t="s">
        <v>2248</v>
      </c>
      <c r="BB75" s="335"/>
      <c r="BC75" s="49" t="s">
        <v>2295</v>
      </c>
      <c r="BD75" s="336" t="s">
        <v>2297</v>
      </c>
    </row>
    <row r="76" spans="1:56" x14ac:dyDescent="0.25">
      <c r="A76" s="94"/>
      <c r="B76" s="12"/>
      <c r="C76" s="208" t="s">
        <v>212</v>
      </c>
      <c r="D76" s="12" t="s">
        <v>239</v>
      </c>
      <c r="E76" s="142" t="s">
        <v>701</v>
      </c>
      <c r="F76" s="131" t="s">
        <v>285</v>
      </c>
      <c r="G76" s="122"/>
      <c r="H76" s="170" t="s">
        <v>235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26" t="str">
        <f t="shared" si="4"/>
        <v>Danger</v>
      </c>
      <c r="AM76" s="177">
        <v>4</v>
      </c>
      <c r="AN76" s="123"/>
      <c r="AO76" s="123">
        <f t="shared" si="8"/>
        <v>0</v>
      </c>
      <c r="AP76" s="124" t="s">
        <v>751</v>
      </c>
      <c r="AQ76" s="123">
        <f t="shared" si="9"/>
        <v>0</v>
      </c>
      <c r="AR76" s="123">
        <f t="shared" si="5"/>
        <v>0</v>
      </c>
      <c r="AS76" s="123">
        <f t="shared" si="6"/>
        <v>0</v>
      </c>
      <c r="AT76" s="124" t="s">
        <v>755</v>
      </c>
      <c r="AU76" s="123" t="str">
        <f t="shared" si="7"/>
        <v>G057</v>
      </c>
      <c r="AV76" s="123"/>
      <c r="AW76" s="123"/>
      <c r="AX76" s="123"/>
      <c r="AY76" s="297"/>
      <c r="AZ76" s="136" t="str">
        <f>VLOOKUP(E76,'H phrases'!$B$2:$C$98,2,FALSE)</f>
        <v xml:space="preserve"> May damage the unborn child</v>
      </c>
      <c r="BA76" s="25" t="s">
        <v>2248</v>
      </c>
      <c r="BB76" s="335"/>
      <c r="BC76" s="49" t="s">
        <v>2295</v>
      </c>
      <c r="BD76" s="336" t="s">
        <v>2297</v>
      </c>
    </row>
    <row r="77" spans="1:56" x14ac:dyDescent="0.25">
      <c r="A77" s="94"/>
      <c r="B77" s="12"/>
      <c r="C77" s="208" t="s">
        <v>212</v>
      </c>
      <c r="D77" s="12" t="s">
        <v>239</v>
      </c>
      <c r="E77" s="142" t="s">
        <v>704</v>
      </c>
      <c r="F77" s="131" t="s">
        <v>285</v>
      </c>
      <c r="G77" s="122"/>
      <c r="H77" s="170" t="s">
        <v>235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26" t="str">
        <f t="shared" si="4"/>
        <v>Danger</v>
      </c>
      <c r="AM77" s="177">
        <v>4</v>
      </c>
      <c r="AN77" s="123"/>
      <c r="AO77" s="123">
        <f t="shared" si="8"/>
        <v>0</v>
      </c>
      <c r="AP77" s="124" t="s">
        <v>751</v>
      </c>
      <c r="AQ77" s="123">
        <f t="shared" si="9"/>
        <v>0</v>
      </c>
      <c r="AR77" s="123">
        <f t="shared" si="5"/>
        <v>0</v>
      </c>
      <c r="AS77" s="123">
        <f t="shared" si="6"/>
        <v>0</v>
      </c>
      <c r="AT77" s="124" t="s">
        <v>755</v>
      </c>
      <c r="AU77" s="123" t="str">
        <f t="shared" si="7"/>
        <v>G057</v>
      </c>
      <c r="AV77" s="123"/>
      <c r="AW77" s="123"/>
      <c r="AX77" s="123"/>
      <c r="AY77" s="297"/>
      <c r="AZ77" s="136" t="str">
        <f>VLOOKUP(E77,'H phrases'!$B$2:$C$98,2,FALSE)</f>
        <v xml:space="preserve"> May damage fertility. May damage the unborn child</v>
      </c>
      <c r="BA77" s="25" t="s">
        <v>2248</v>
      </c>
      <c r="BB77" s="335"/>
      <c r="BC77" s="49" t="s">
        <v>2295</v>
      </c>
      <c r="BD77" s="336" t="s">
        <v>2297</v>
      </c>
    </row>
    <row r="78" spans="1:56" x14ac:dyDescent="0.25">
      <c r="A78" s="94"/>
      <c r="B78" s="12"/>
      <c r="C78" s="208" t="s">
        <v>212</v>
      </c>
      <c r="D78" s="12" t="s">
        <v>239</v>
      </c>
      <c r="E78" s="142" t="s">
        <v>714</v>
      </c>
      <c r="F78" s="131" t="s">
        <v>285</v>
      </c>
      <c r="G78" s="122"/>
      <c r="H78" s="170" t="s">
        <v>235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26" t="str">
        <f t="shared" si="4"/>
        <v>Danger</v>
      </c>
      <c r="AM78" s="177">
        <v>4</v>
      </c>
      <c r="AN78" s="123"/>
      <c r="AO78" s="123">
        <f t="shared" si="8"/>
        <v>0</v>
      </c>
      <c r="AP78" s="124" t="s">
        <v>751</v>
      </c>
      <c r="AQ78" s="123">
        <f t="shared" si="9"/>
        <v>0</v>
      </c>
      <c r="AR78" s="123">
        <f t="shared" si="5"/>
        <v>0</v>
      </c>
      <c r="AS78" s="123">
        <f t="shared" si="6"/>
        <v>0</v>
      </c>
      <c r="AT78" s="124" t="s">
        <v>755</v>
      </c>
      <c r="AU78" s="123" t="str">
        <f t="shared" si="7"/>
        <v>G057</v>
      </c>
      <c r="AV78" s="123"/>
      <c r="AW78" s="123"/>
      <c r="AX78" s="123"/>
      <c r="AY78" s="297"/>
      <c r="AZ78" s="136" t="str">
        <f>VLOOKUP(E78,'H phrases'!$B$2:$C$98,2,FALSE)</f>
        <v xml:space="preserve"> May damage fertility. May damage the unborn child</v>
      </c>
      <c r="BA78" s="25" t="s">
        <v>2248</v>
      </c>
      <c r="BB78" s="335"/>
      <c r="BC78" s="49" t="s">
        <v>2295</v>
      </c>
      <c r="BD78" s="336" t="s">
        <v>2297</v>
      </c>
    </row>
    <row r="79" spans="1:56" x14ac:dyDescent="0.25">
      <c r="A79" s="94"/>
      <c r="B79" s="12"/>
      <c r="C79" s="208" t="s">
        <v>212</v>
      </c>
      <c r="D79" s="12" t="s">
        <v>239</v>
      </c>
      <c r="E79" s="142" t="s">
        <v>702</v>
      </c>
      <c r="F79" s="131" t="s">
        <v>285</v>
      </c>
      <c r="G79" s="122"/>
      <c r="H79" s="170" t="s">
        <v>235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26" t="str">
        <f t="shared" si="4"/>
        <v>Danger</v>
      </c>
      <c r="AM79" s="177">
        <v>4</v>
      </c>
      <c r="AN79" s="123"/>
      <c r="AO79" s="123">
        <f t="shared" si="8"/>
        <v>0</v>
      </c>
      <c r="AP79" s="124" t="s">
        <v>751</v>
      </c>
      <c r="AQ79" s="123">
        <f t="shared" si="9"/>
        <v>0</v>
      </c>
      <c r="AR79" s="123">
        <f t="shared" si="5"/>
        <v>0</v>
      </c>
      <c r="AS79" s="123">
        <f t="shared" si="6"/>
        <v>0</v>
      </c>
      <c r="AT79" s="124" t="s">
        <v>755</v>
      </c>
      <c r="AU79" s="123" t="str">
        <f t="shared" si="7"/>
        <v>G057</v>
      </c>
      <c r="AV79" s="123"/>
      <c r="AW79" s="123"/>
      <c r="AX79" s="123"/>
      <c r="AY79" s="297"/>
      <c r="AZ79" s="136" t="str">
        <f>VLOOKUP(E79,'H phrases'!$B$2:$C$98,2,FALSE)</f>
        <v xml:space="preserve"> May damage the unborn child. Suspected of damaging fertility</v>
      </c>
      <c r="BA79" s="25" t="s">
        <v>2248</v>
      </c>
      <c r="BB79" s="335"/>
      <c r="BC79" s="49" t="s">
        <v>2295</v>
      </c>
      <c r="BD79" s="336" t="s">
        <v>2297</v>
      </c>
    </row>
    <row r="80" spans="1:56" x14ac:dyDescent="0.25">
      <c r="A80" s="94"/>
      <c r="B80" s="12"/>
      <c r="C80" s="208" t="s">
        <v>213</v>
      </c>
      <c r="D80" s="12" t="s">
        <v>239</v>
      </c>
      <c r="E80" s="142" t="s">
        <v>271</v>
      </c>
      <c r="F80" s="131" t="s">
        <v>285</v>
      </c>
      <c r="G80" s="122"/>
      <c r="H80" s="170" t="s">
        <v>235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26" t="str">
        <f t="shared" si="4"/>
        <v>Danger</v>
      </c>
      <c r="AM80" s="177">
        <v>4</v>
      </c>
      <c r="AN80" s="123"/>
      <c r="AO80" s="123">
        <f t="shared" si="8"/>
        <v>0</v>
      </c>
      <c r="AP80" s="124" t="s">
        <v>751</v>
      </c>
      <c r="AQ80" s="123">
        <f t="shared" si="9"/>
        <v>0</v>
      </c>
      <c r="AR80" s="123">
        <f t="shared" si="5"/>
        <v>0</v>
      </c>
      <c r="AS80" s="123">
        <f t="shared" si="6"/>
        <v>0</v>
      </c>
      <c r="AT80" s="124" t="s">
        <v>755</v>
      </c>
      <c r="AU80" s="123" t="str">
        <f t="shared" si="7"/>
        <v>G057</v>
      </c>
      <c r="AV80" s="123"/>
      <c r="AW80" s="123"/>
      <c r="AX80" s="123"/>
      <c r="AY80" s="297"/>
      <c r="AZ80" s="136" t="str">
        <f>VLOOKUP(E80,'H phrases'!$B$2:$C$98,2,FALSE)</f>
        <v xml:space="preserve"> May damage fertility or the unborn child (state specific effect if known)(state route of exposure if it is conclusively proven that no other routes of exposure cause the hazard)</v>
      </c>
      <c r="BA80" s="25" t="s">
        <v>2248</v>
      </c>
      <c r="BB80" s="335"/>
      <c r="BC80" s="49" t="s">
        <v>2295</v>
      </c>
      <c r="BD80" s="336" t="s">
        <v>2297</v>
      </c>
    </row>
    <row r="81" spans="1:56" x14ac:dyDescent="0.25">
      <c r="A81" s="94"/>
      <c r="B81" s="12"/>
      <c r="C81" s="208" t="s">
        <v>213</v>
      </c>
      <c r="D81" s="12" t="s">
        <v>239</v>
      </c>
      <c r="E81" s="142" t="s">
        <v>703</v>
      </c>
      <c r="F81" s="131" t="s">
        <v>285</v>
      </c>
      <c r="G81" s="122"/>
      <c r="H81" s="170" t="s">
        <v>235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26" t="str">
        <f t="shared" si="4"/>
        <v>Danger</v>
      </c>
      <c r="AM81" s="177">
        <v>4</v>
      </c>
      <c r="AN81" s="123"/>
      <c r="AO81" s="123">
        <f t="shared" si="8"/>
        <v>0</v>
      </c>
      <c r="AP81" s="124" t="s">
        <v>751</v>
      </c>
      <c r="AQ81" s="123">
        <f t="shared" si="9"/>
        <v>0</v>
      </c>
      <c r="AR81" s="123">
        <f t="shared" si="5"/>
        <v>0</v>
      </c>
      <c r="AS81" s="123">
        <f t="shared" si="6"/>
        <v>0</v>
      </c>
      <c r="AT81" s="124" t="s">
        <v>755</v>
      </c>
      <c r="AU81" s="123" t="str">
        <f t="shared" si="7"/>
        <v>G057</v>
      </c>
      <c r="AV81" s="123"/>
      <c r="AW81" s="123"/>
      <c r="AX81" s="123"/>
      <c r="AY81" s="297"/>
      <c r="AZ81" s="136" t="str">
        <f>VLOOKUP(E81,'H phrases'!$B$2:$C$98,2,FALSE)</f>
        <v xml:space="preserve"> May damage fertility</v>
      </c>
      <c r="BA81" s="25" t="s">
        <v>2248</v>
      </c>
      <c r="BB81" s="335"/>
      <c r="BC81" s="49" t="s">
        <v>2295</v>
      </c>
      <c r="BD81" s="336" t="s">
        <v>2297</v>
      </c>
    </row>
    <row r="82" spans="1:56" x14ac:dyDescent="0.25">
      <c r="A82" s="94"/>
      <c r="B82" s="12"/>
      <c r="C82" s="208" t="s">
        <v>213</v>
      </c>
      <c r="D82" s="12" t="s">
        <v>239</v>
      </c>
      <c r="E82" s="142" t="s">
        <v>701</v>
      </c>
      <c r="F82" s="131" t="s">
        <v>285</v>
      </c>
      <c r="G82" s="122"/>
      <c r="H82" s="170" t="s">
        <v>235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26" t="str">
        <f t="shared" si="4"/>
        <v>Danger</v>
      </c>
      <c r="AM82" s="177">
        <v>4</v>
      </c>
      <c r="AN82" s="123"/>
      <c r="AO82" s="123">
        <f t="shared" si="8"/>
        <v>0</v>
      </c>
      <c r="AP82" s="124" t="s">
        <v>751</v>
      </c>
      <c r="AQ82" s="123">
        <f t="shared" si="9"/>
        <v>0</v>
      </c>
      <c r="AR82" s="123">
        <f t="shared" si="5"/>
        <v>0</v>
      </c>
      <c r="AS82" s="123">
        <f t="shared" si="6"/>
        <v>0</v>
      </c>
      <c r="AT82" s="124" t="s">
        <v>755</v>
      </c>
      <c r="AU82" s="123" t="str">
        <f t="shared" si="7"/>
        <v>G057</v>
      </c>
      <c r="AV82" s="123"/>
      <c r="AW82" s="123"/>
      <c r="AX82" s="123"/>
      <c r="AY82" s="297"/>
      <c r="AZ82" s="136" t="str">
        <f>VLOOKUP(E82,'H phrases'!$B$2:$C$98,2,FALSE)</f>
        <v xml:space="preserve"> May damage the unborn child</v>
      </c>
      <c r="BA82" s="25" t="s">
        <v>2248</v>
      </c>
      <c r="BB82" s="335"/>
      <c r="BC82" s="49" t="s">
        <v>2295</v>
      </c>
      <c r="BD82" s="336" t="s">
        <v>2297</v>
      </c>
    </row>
    <row r="83" spans="1:56" x14ac:dyDescent="0.25">
      <c r="A83" s="94"/>
      <c r="B83" s="12"/>
      <c r="C83" s="208" t="s">
        <v>213</v>
      </c>
      <c r="D83" s="12" t="s">
        <v>239</v>
      </c>
      <c r="E83" s="142" t="s">
        <v>704</v>
      </c>
      <c r="F83" s="131" t="s">
        <v>285</v>
      </c>
      <c r="G83" s="122"/>
      <c r="H83" s="170" t="s">
        <v>235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26" t="str">
        <f t="shared" si="4"/>
        <v>Danger</v>
      </c>
      <c r="AM83" s="177">
        <v>4</v>
      </c>
      <c r="AN83" s="123"/>
      <c r="AO83" s="123">
        <f t="shared" si="8"/>
        <v>0</v>
      </c>
      <c r="AP83" s="124" t="s">
        <v>751</v>
      </c>
      <c r="AQ83" s="123">
        <f t="shared" si="9"/>
        <v>0</v>
      </c>
      <c r="AR83" s="123">
        <f t="shared" si="5"/>
        <v>0</v>
      </c>
      <c r="AS83" s="123">
        <f t="shared" si="6"/>
        <v>0</v>
      </c>
      <c r="AT83" s="124" t="s">
        <v>755</v>
      </c>
      <c r="AU83" s="123" t="str">
        <f t="shared" si="7"/>
        <v>G057</v>
      </c>
      <c r="AV83" s="123"/>
      <c r="AW83" s="123"/>
      <c r="AX83" s="123"/>
      <c r="AY83" s="297"/>
      <c r="AZ83" s="136" t="str">
        <f>VLOOKUP(E83,'H phrases'!$B$2:$C$98,2,FALSE)</f>
        <v xml:space="preserve"> May damage fertility. May damage the unborn child</v>
      </c>
      <c r="BA83" s="25" t="s">
        <v>2248</v>
      </c>
      <c r="BB83" s="335"/>
      <c r="BC83" s="49" t="s">
        <v>2295</v>
      </c>
      <c r="BD83" s="336" t="s">
        <v>2297</v>
      </c>
    </row>
    <row r="84" spans="1:56" x14ac:dyDescent="0.25">
      <c r="A84" s="94"/>
      <c r="B84" s="12"/>
      <c r="C84" s="208" t="s">
        <v>213</v>
      </c>
      <c r="D84" s="12" t="s">
        <v>239</v>
      </c>
      <c r="E84" s="142" t="s">
        <v>714</v>
      </c>
      <c r="F84" s="131" t="s">
        <v>285</v>
      </c>
      <c r="G84" s="122"/>
      <c r="H84" s="170" t="s">
        <v>235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26" t="str">
        <f t="shared" si="4"/>
        <v>Danger</v>
      </c>
      <c r="AM84" s="177">
        <v>4</v>
      </c>
      <c r="AN84" s="123"/>
      <c r="AO84" s="123">
        <f t="shared" si="8"/>
        <v>0</v>
      </c>
      <c r="AP84" s="124" t="s">
        <v>751</v>
      </c>
      <c r="AQ84" s="123">
        <f t="shared" si="9"/>
        <v>0</v>
      </c>
      <c r="AR84" s="123">
        <f t="shared" si="5"/>
        <v>0</v>
      </c>
      <c r="AS84" s="123">
        <f t="shared" si="6"/>
        <v>0</v>
      </c>
      <c r="AT84" s="124" t="s">
        <v>755</v>
      </c>
      <c r="AU84" s="123" t="str">
        <f t="shared" si="7"/>
        <v>G057</v>
      </c>
      <c r="AV84" s="123"/>
      <c r="AW84" s="123"/>
      <c r="AX84" s="123"/>
      <c r="AY84" s="297"/>
      <c r="AZ84" s="136" t="str">
        <f>VLOOKUP(E84,'H phrases'!$B$2:$C$98,2,FALSE)</f>
        <v xml:space="preserve"> May damage fertility. May damage the unborn child</v>
      </c>
      <c r="BA84" s="25" t="s">
        <v>2248</v>
      </c>
      <c r="BB84" s="335"/>
      <c r="BC84" s="49" t="s">
        <v>2295</v>
      </c>
      <c r="BD84" s="336" t="s">
        <v>2297</v>
      </c>
    </row>
    <row r="85" spans="1:56" x14ac:dyDescent="0.25">
      <c r="A85" s="94"/>
      <c r="B85" s="12"/>
      <c r="C85" s="208" t="s">
        <v>213</v>
      </c>
      <c r="D85" s="12" t="s">
        <v>239</v>
      </c>
      <c r="E85" s="142" t="s">
        <v>702</v>
      </c>
      <c r="F85" s="131" t="s">
        <v>285</v>
      </c>
      <c r="G85" s="122"/>
      <c r="H85" s="170" t="s">
        <v>235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26" t="str">
        <f t="shared" si="4"/>
        <v>Danger</v>
      </c>
      <c r="AM85" s="177">
        <v>4</v>
      </c>
      <c r="AN85" s="123"/>
      <c r="AO85" s="123">
        <f t="shared" si="8"/>
        <v>0</v>
      </c>
      <c r="AP85" s="124" t="s">
        <v>751</v>
      </c>
      <c r="AQ85" s="123">
        <f t="shared" si="9"/>
        <v>0</v>
      </c>
      <c r="AR85" s="123">
        <f t="shared" si="5"/>
        <v>0</v>
      </c>
      <c r="AS85" s="123">
        <f t="shared" si="6"/>
        <v>0</v>
      </c>
      <c r="AT85" s="124" t="s">
        <v>755</v>
      </c>
      <c r="AU85" s="123" t="str">
        <f t="shared" si="7"/>
        <v>G057</v>
      </c>
      <c r="AV85" s="123"/>
      <c r="AW85" s="123"/>
      <c r="AX85" s="123"/>
      <c r="AY85" s="297"/>
      <c r="AZ85" s="136" t="str">
        <f>VLOOKUP(E85,'H phrases'!$B$2:$C$98,2,FALSE)</f>
        <v xml:space="preserve"> May damage the unborn child. Suspected of damaging fertility</v>
      </c>
      <c r="BA85" s="25" t="s">
        <v>2248</v>
      </c>
      <c r="BB85" s="335"/>
      <c r="BC85" s="49" t="s">
        <v>2295</v>
      </c>
      <c r="BD85" s="336" t="s">
        <v>2297</v>
      </c>
    </row>
    <row r="86" spans="1:56" x14ac:dyDescent="0.25">
      <c r="A86" s="93"/>
      <c r="B86" s="11"/>
      <c r="C86" s="208" t="s">
        <v>214</v>
      </c>
      <c r="D86" s="12" t="s">
        <v>244</v>
      </c>
      <c r="E86" s="142" t="s">
        <v>272</v>
      </c>
      <c r="F86" s="131" t="s">
        <v>285</v>
      </c>
      <c r="G86" s="122"/>
      <c r="H86" s="168" t="s">
        <v>235</v>
      </c>
      <c r="I86" s="124" t="s">
        <v>2</v>
      </c>
      <c r="J86" s="123"/>
      <c r="K86" s="123"/>
      <c r="L86" s="123"/>
      <c r="M86" s="123"/>
      <c r="N86" s="123"/>
      <c r="O86" s="123"/>
      <c r="P86" s="124" t="s">
        <v>0</v>
      </c>
      <c r="Q86" s="124" t="s">
        <v>112</v>
      </c>
      <c r="R86" s="123"/>
      <c r="S86" s="123"/>
      <c r="T86" s="123"/>
      <c r="U86" s="123"/>
      <c r="V86" s="123"/>
      <c r="W86" s="124" t="s">
        <v>1</v>
      </c>
      <c r="X86" s="124" t="s">
        <v>75</v>
      </c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26" t="str">
        <f t="shared" si="4"/>
        <v>Warning</v>
      </c>
      <c r="AM86" s="177">
        <v>3</v>
      </c>
      <c r="AN86" s="123"/>
      <c r="AO86" s="123">
        <f t="shared" si="8"/>
        <v>0</v>
      </c>
      <c r="AP86" s="124" t="s">
        <v>751</v>
      </c>
      <c r="AQ86" s="123">
        <f t="shared" si="9"/>
        <v>0</v>
      </c>
      <c r="AR86" s="123">
        <f t="shared" si="5"/>
        <v>0</v>
      </c>
      <c r="AS86" s="123">
        <f t="shared" si="6"/>
        <v>0</v>
      </c>
      <c r="AT86" s="124" t="s">
        <v>755</v>
      </c>
      <c r="AU86" s="123" t="str">
        <f t="shared" si="7"/>
        <v>G057</v>
      </c>
      <c r="AV86" s="123"/>
      <c r="AW86" s="123"/>
      <c r="AX86" s="123"/>
      <c r="AY86" s="297"/>
      <c r="AZ86" s="136" t="str">
        <f>VLOOKUP(E86,'H phrases'!$B$2:$C$98,2,FALSE)</f>
        <v xml:space="preserve"> Suspected of damaging fertility or the unborn child (state route of exposure if it is conclusively proven that no other routes of exposure cause the hazard)</v>
      </c>
      <c r="BA86" s="25" t="s">
        <v>2248</v>
      </c>
      <c r="BB86" s="335"/>
      <c r="BC86" s="49" t="s">
        <v>2296</v>
      </c>
      <c r="BD86" s="336" t="s">
        <v>2297</v>
      </c>
    </row>
    <row r="87" spans="1:56" x14ac:dyDescent="0.25">
      <c r="A87" s="93"/>
      <c r="B87" s="11"/>
      <c r="C87" s="208" t="s">
        <v>214</v>
      </c>
      <c r="D87" s="12" t="s">
        <v>244</v>
      </c>
      <c r="E87" s="142" t="s">
        <v>708</v>
      </c>
      <c r="F87" s="131" t="s">
        <v>285</v>
      </c>
      <c r="G87" s="122"/>
      <c r="H87" s="168" t="s">
        <v>235</v>
      </c>
      <c r="I87" s="124" t="s">
        <v>2</v>
      </c>
      <c r="J87" s="123"/>
      <c r="K87" s="123"/>
      <c r="L87" s="123"/>
      <c r="M87" s="123"/>
      <c r="N87" s="123"/>
      <c r="O87" s="123"/>
      <c r="P87" s="124" t="s">
        <v>0</v>
      </c>
      <c r="Q87" s="124" t="s">
        <v>112</v>
      </c>
      <c r="R87" s="123"/>
      <c r="S87" s="123"/>
      <c r="T87" s="123"/>
      <c r="U87" s="123"/>
      <c r="V87" s="123"/>
      <c r="W87" s="124" t="s">
        <v>1</v>
      </c>
      <c r="X87" s="124" t="s">
        <v>75</v>
      </c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26" t="str">
        <f t="shared" si="4"/>
        <v>Warning</v>
      </c>
      <c r="AM87" s="177">
        <v>3</v>
      </c>
      <c r="AN87" s="123"/>
      <c r="AO87" s="123">
        <f t="shared" si="8"/>
        <v>0</v>
      </c>
      <c r="AP87" s="124" t="s">
        <v>751</v>
      </c>
      <c r="AQ87" s="123">
        <f t="shared" si="9"/>
        <v>0</v>
      </c>
      <c r="AR87" s="123">
        <f t="shared" si="5"/>
        <v>0</v>
      </c>
      <c r="AS87" s="123">
        <f t="shared" si="6"/>
        <v>0</v>
      </c>
      <c r="AT87" s="124" t="s">
        <v>755</v>
      </c>
      <c r="AU87" s="123" t="str">
        <f t="shared" si="7"/>
        <v>G057</v>
      </c>
      <c r="AV87" s="123"/>
      <c r="AW87" s="123"/>
      <c r="AX87" s="123"/>
      <c r="AY87" s="297"/>
      <c r="AZ87" s="136" t="str">
        <f>VLOOKUP(E87,'H phrases'!$B$2:$C$98,2,FALSE)</f>
        <v xml:space="preserve"> Suspected of damaging fertility.</v>
      </c>
      <c r="BA87" s="25" t="s">
        <v>2248</v>
      </c>
      <c r="BB87" s="335"/>
      <c r="BC87" s="49" t="s">
        <v>2296</v>
      </c>
      <c r="BD87" s="336" t="s">
        <v>2297</v>
      </c>
    </row>
    <row r="88" spans="1:56" x14ac:dyDescent="0.25">
      <c r="A88" s="93"/>
      <c r="B88" s="11"/>
      <c r="C88" s="208" t="s">
        <v>214</v>
      </c>
      <c r="D88" s="12" t="s">
        <v>244</v>
      </c>
      <c r="E88" s="142" t="s">
        <v>706</v>
      </c>
      <c r="F88" s="131" t="s">
        <v>285</v>
      </c>
      <c r="G88" s="122"/>
      <c r="H88" s="168" t="s">
        <v>235</v>
      </c>
      <c r="I88" s="124" t="s">
        <v>2</v>
      </c>
      <c r="J88" s="123"/>
      <c r="K88" s="123"/>
      <c r="L88" s="123"/>
      <c r="M88" s="123"/>
      <c r="N88" s="123"/>
      <c r="O88" s="123"/>
      <c r="P88" s="124" t="s">
        <v>0</v>
      </c>
      <c r="Q88" s="124" t="s">
        <v>112</v>
      </c>
      <c r="R88" s="123"/>
      <c r="S88" s="123"/>
      <c r="T88" s="123"/>
      <c r="U88" s="123"/>
      <c r="V88" s="123"/>
      <c r="W88" s="124" t="s">
        <v>1</v>
      </c>
      <c r="X88" s="124" t="s">
        <v>75</v>
      </c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26" t="str">
        <f t="shared" si="4"/>
        <v>Warning</v>
      </c>
      <c r="AM88" s="177">
        <v>3</v>
      </c>
      <c r="AN88" s="123"/>
      <c r="AO88" s="123">
        <f t="shared" si="8"/>
        <v>0</v>
      </c>
      <c r="AP88" s="124" t="s">
        <v>751</v>
      </c>
      <c r="AQ88" s="123">
        <f t="shared" si="9"/>
        <v>0</v>
      </c>
      <c r="AR88" s="123">
        <f t="shared" si="5"/>
        <v>0</v>
      </c>
      <c r="AS88" s="123">
        <f t="shared" si="6"/>
        <v>0</v>
      </c>
      <c r="AT88" s="124" t="s">
        <v>755</v>
      </c>
      <c r="AU88" s="123" t="str">
        <f t="shared" si="7"/>
        <v>G057</v>
      </c>
      <c r="AV88" s="123"/>
      <c r="AW88" s="123"/>
      <c r="AX88" s="123"/>
      <c r="AY88" s="297"/>
      <c r="AZ88" s="136" t="str">
        <f>VLOOKUP(E88,'H phrases'!$B$2:$C$98,2,FALSE)</f>
        <v xml:space="preserve"> Suspected of damaging the unborn child.</v>
      </c>
      <c r="BA88" s="25" t="s">
        <v>2248</v>
      </c>
      <c r="BB88" s="335"/>
      <c r="BC88" s="49" t="s">
        <v>2296</v>
      </c>
      <c r="BD88" s="336" t="s">
        <v>2297</v>
      </c>
    </row>
    <row r="89" spans="1:56" x14ac:dyDescent="0.25">
      <c r="A89" s="94"/>
      <c r="B89" s="11"/>
      <c r="C89" s="208" t="s">
        <v>214</v>
      </c>
      <c r="D89" s="12" t="s">
        <v>244</v>
      </c>
      <c r="E89" s="142" t="s">
        <v>710</v>
      </c>
      <c r="F89" s="131" t="s">
        <v>285</v>
      </c>
      <c r="G89" s="122"/>
      <c r="H89" s="168" t="s">
        <v>235</v>
      </c>
      <c r="I89" s="124" t="s">
        <v>2</v>
      </c>
      <c r="J89" s="123"/>
      <c r="K89" s="123"/>
      <c r="L89" s="123"/>
      <c r="M89" s="123"/>
      <c r="N89" s="123"/>
      <c r="O89" s="123"/>
      <c r="P89" s="124" t="s">
        <v>0</v>
      </c>
      <c r="Q89" s="124" t="s">
        <v>112</v>
      </c>
      <c r="R89" s="123"/>
      <c r="S89" s="123"/>
      <c r="T89" s="123"/>
      <c r="U89" s="123"/>
      <c r="V89" s="123"/>
      <c r="W89" s="124" t="s">
        <v>1</v>
      </c>
      <c r="X89" s="124" t="s">
        <v>75</v>
      </c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4" t="s">
        <v>562</v>
      </c>
      <c r="AL89" s="26" t="str">
        <f t="shared" si="4"/>
        <v>Warning</v>
      </c>
      <c r="AM89" s="178">
        <v>3</v>
      </c>
      <c r="AN89" s="123"/>
      <c r="AO89" s="123">
        <f t="shared" si="8"/>
        <v>0</v>
      </c>
      <c r="AP89" s="124" t="s">
        <v>751</v>
      </c>
      <c r="AQ89" s="123">
        <f t="shared" si="9"/>
        <v>0</v>
      </c>
      <c r="AR89" s="123">
        <f t="shared" si="5"/>
        <v>0</v>
      </c>
      <c r="AS89" s="123">
        <f t="shared" si="6"/>
        <v>0</v>
      </c>
      <c r="AT89" s="124" t="s">
        <v>755</v>
      </c>
      <c r="AU89" s="123" t="str">
        <f t="shared" si="7"/>
        <v>G057</v>
      </c>
      <c r="AV89" s="123"/>
      <c r="AW89" s="123"/>
      <c r="AX89" s="123"/>
      <c r="AY89" s="297"/>
      <c r="AZ89" s="136" t="str">
        <f>VLOOKUP(E89,'H phrases'!$B$2:$C$98,2,FALSE)</f>
        <v xml:space="preserve"> Suspected of damaging fertility. Suspected of damaging the unborn child</v>
      </c>
      <c r="BA89" s="25" t="s">
        <v>2248</v>
      </c>
      <c r="BB89" s="335"/>
      <c r="BC89" s="49" t="s">
        <v>2296</v>
      </c>
      <c r="BD89" s="336" t="s">
        <v>2297</v>
      </c>
    </row>
    <row r="90" spans="1:56" x14ac:dyDescent="0.25">
      <c r="A90" s="93"/>
      <c r="B90" s="11"/>
      <c r="C90" s="208" t="s">
        <v>215</v>
      </c>
      <c r="D90" s="12" t="s">
        <v>277</v>
      </c>
      <c r="E90" s="141" t="s">
        <v>273</v>
      </c>
      <c r="F90" s="131"/>
      <c r="G90" s="122"/>
      <c r="H90" s="168"/>
      <c r="I90" s="124" t="s">
        <v>0</v>
      </c>
      <c r="J90" s="125" t="str">
        <f>IF(C138,"P260",0)</f>
        <v>P260</v>
      </c>
      <c r="K90" s="124" t="s">
        <v>115</v>
      </c>
      <c r="L90" s="123"/>
      <c r="M90" s="123"/>
      <c r="N90" s="123"/>
      <c r="O90" s="123"/>
      <c r="P90" s="124" t="s">
        <v>112</v>
      </c>
      <c r="Q90" s="123"/>
      <c r="R90" s="123"/>
      <c r="S90" s="123"/>
      <c r="T90" s="123"/>
      <c r="U90" s="123"/>
      <c r="V90" s="123"/>
      <c r="W90" s="124" t="s">
        <v>71</v>
      </c>
      <c r="X90" s="124" t="s">
        <v>70</v>
      </c>
      <c r="Y90" s="123"/>
      <c r="Z90" s="123"/>
      <c r="AA90" s="123"/>
      <c r="AB90" s="123"/>
      <c r="AC90" s="123"/>
      <c r="AD90" s="125"/>
      <c r="AE90" s="123"/>
      <c r="AF90" s="123"/>
      <c r="AG90" s="123"/>
      <c r="AH90" s="123"/>
      <c r="AI90" s="123"/>
      <c r="AJ90" s="123"/>
      <c r="AK90" s="123"/>
      <c r="AL90" s="26"/>
      <c r="AM90" s="177">
        <v>3</v>
      </c>
      <c r="AN90" s="123"/>
      <c r="AO90" s="123">
        <f t="shared" si="8"/>
        <v>0</v>
      </c>
      <c r="AP90" s="124" t="s">
        <v>751</v>
      </c>
      <c r="AQ90" s="123">
        <f t="shared" si="9"/>
        <v>0</v>
      </c>
      <c r="AR90" s="123">
        <f t="shared" si="5"/>
        <v>0</v>
      </c>
      <c r="AS90" s="123">
        <f t="shared" si="6"/>
        <v>0</v>
      </c>
      <c r="AT90" s="124" t="s">
        <v>755</v>
      </c>
      <c r="AU90" s="123" t="str">
        <f t="shared" si="7"/>
        <v>G057</v>
      </c>
      <c r="AV90" s="123"/>
      <c r="AW90" s="123"/>
      <c r="AX90" s="123"/>
      <c r="AY90" s="297"/>
      <c r="AZ90" s="136" t="str">
        <f>VLOOKUP(E90,'H phrases'!$B$2:$C$98,2,FALSE)</f>
        <v>May cause harm to breast-fed children.</v>
      </c>
      <c r="BA90" s="25"/>
      <c r="BB90" s="335"/>
      <c r="BC90" s="26"/>
      <c r="BD90" s="337"/>
    </row>
    <row r="91" spans="1:56" x14ac:dyDescent="0.25">
      <c r="A91" s="94"/>
      <c r="B91" s="12" t="s">
        <v>216</v>
      </c>
      <c r="C91" s="208" t="s">
        <v>217</v>
      </c>
      <c r="D91" s="12" t="s">
        <v>239</v>
      </c>
      <c r="E91" s="141" t="s">
        <v>116</v>
      </c>
      <c r="F91" s="131" t="s">
        <v>285</v>
      </c>
      <c r="G91" s="122" t="s">
        <v>589</v>
      </c>
      <c r="H91" s="170" t="s">
        <v>235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4" t="s">
        <v>562</v>
      </c>
      <c r="AK91" s="124" t="s">
        <v>562</v>
      </c>
      <c r="AL91" s="26" t="str">
        <f t="shared" si="4"/>
        <v>Danger</v>
      </c>
      <c r="AM91" s="178">
        <v>4</v>
      </c>
      <c r="AN91" s="123"/>
      <c r="AO91" s="123">
        <f t="shared" si="8"/>
        <v>0</v>
      </c>
      <c r="AP91" s="124" t="s">
        <v>751</v>
      </c>
      <c r="AQ91" s="123">
        <f t="shared" si="9"/>
        <v>0</v>
      </c>
      <c r="AR91" s="123">
        <f t="shared" si="5"/>
        <v>0</v>
      </c>
      <c r="AS91" s="123">
        <f t="shared" si="6"/>
        <v>0</v>
      </c>
      <c r="AT91" s="124" t="s">
        <v>755</v>
      </c>
      <c r="AU91" s="123" t="str">
        <f t="shared" si="7"/>
        <v>G057</v>
      </c>
      <c r="AV91" s="123"/>
      <c r="AW91" s="123"/>
      <c r="AX91" s="123"/>
      <c r="AY91" s="297"/>
      <c r="AZ91" s="136" t="str">
        <f>VLOOKUP(E91,'H phrases'!$B$2:$C$98,2,FALSE)</f>
        <v>Causes damage to organs &lt;or state all organs affected, if known&gt; &lt;state route of exposure if it is conclusively proven that no other routes of exposure cause the hazard&gt;.</v>
      </c>
      <c r="BA91" s="25" t="s">
        <v>2244</v>
      </c>
      <c r="BB91" s="335"/>
      <c r="BC91" s="49" t="s">
        <v>2286</v>
      </c>
      <c r="BD91" s="336" t="s">
        <v>2262</v>
      </c>
    </row>
    <row r="92" spans="1:56" x14ac:dyDescent="0.25">
      <c r="A92" s="93"/>
      <c r="B92" s="11"/>
      <c r="C92" s="208" t="s">
        <v>218</v>
      </c>
      <c r="D92" s="12" t="s">
        <v>244</v>
      </c>
      <c r="E92" s="141" t="s">
        <v>118</v>
      </c>
      <c r="F92" s="131" t="s">
        <v>285</v>
      </c>
      <c r="G92" s="122"/>
      <c r="H92" s="168" t="s">
        <v>235</v>
      </c>
      <c r="I92" s="125" t="str">
        <f>IF(C138,"P260",0)</f>
        <v>P260</v>
      </c>
      <c r="J92" s="123"/>
      <c r="K92" s="123"/>
      <c r="L92" s="123"/>
      <c r="M92" s="123"/>
      <c r="N92" s="123"/>
      <c r="O92" s="123"/>
      <c r="P92" s="124" t="s">
        <v>119</v>
      </c>
      <c r="Q92" s="123"/>
      <c r="R92" s="123"/>
      <c r="S92" s="123"/>
      <c r="T92" s="123"/>
      <c r="U92" s="123"/>
      <c r="V92" s="123"/>
      <c r="W92" s="124" t="s">
        <v>70</v>
      </c>
      <c r="X92" s="124" t="s">
        <v>71</v>
      </c>
      <c r="Y92" s="124" t="s">
        <v>75</v>
      </c>
      <c r="Z92" s="123"/>
      <c r="AA92" s="123"/>
      <c r="AB92" s="123"/>
      <c r="AC92" s="123"/>
      <c r="AD92" s="125"/>
      <c r="AE92" s="123"/>
      <c r="AF92" s="123"/>
      <c r="AG92" s="123"/>
      <c r="AH92" s="123"/>
      <c r="AI92" s="123"/>
      <c r="AJ92" s="123"/>
      <c r="AK92" s="124" t="s">
        <v>562</v>
      </c>
      <c r="AL92" s="26" t="str">
        <f t="shared" si="4"/>
        <v>Warning</v>
      </c>
      <c r="AM92" s="178">
        <v>3</v>
      </c>
      <c r="AN92" s="123"/>
      <c r="AO92" s="123">
        <f t="shared" si="8"/>
        <v>0</v>
      </c>
      <c r="AP92" s="124" t="s">
        <v>751</v>
      </c>
      <c r="AQ92" s="123">
        <f t="shared" si="9"/>
        <v>0</v>
      </c>
      <c r="AR92" s="123">
        <f t="shared" si="5"/>
        <v>0</v>
      </c>
      <c r="AS92" s="123">
        <f t="shared" si="6"/>
        <v>0</v>
      </c>
      <c r="AT92" s="124" t="s">
        <v>755</v>
      </c>
      <c r="AU92" s="123" t="str">
        <f t="shared" si="7"/>
        <v>G057</v>
      </c>
      <c r="AV92" s="123"/>
      <c r="AW92" s="123"/>
      <c r="AX92" s="123"/>
      <c r="AY92" s="297"/>
      <c r="AZ92" s="136" t="str">
        <f>VLOOKUP(E92,'H phrases'!$B$2:$C$98,2,FALSE)</f>
        <v>May cause damage to organs &lt;or state all organs affected, if known&gt; &lt;state route of exposure if it is conclusively proven that no other routes of exposure cause the hazard&gt;.</v>
      </c>
      <c r="BA92" s="25" t="s">
        <v>2244</v>
      </c>
      <c r="BB92" s="335"/>
      <c r="BC92" s="49" t="s">
        <v>2287</v>
      </c>
      <c r="BD92" s="336" t="s">
        <v>2262</v>
      </c>
    </row>
    <row r="93" spans="1:56" x14ac:dyDescent="0.25">
      <c r="A93" s="94"/>
      <c r="B93" s="11"/>
      <c r="C93" s="208" t="s">
        <v>219</v>
      </c>
      <c r="D93" s="12" t="s">
        <v>244</v>
      </c>
      <c r="E93" s="137" t="s">
        <v>274</v>
      </c>
      <c r="F93" s="130" t="s">
        <v>284</v>
      </c>
      <c r="G93" s="100"/>
      <c r="H93" s="167"/>
      <c r="I93" s="105" t="str">
        <f>IF(C138,"P261",0)</f>
        <v>P261</v>
      </c>
      <c r="J93" s="26"/>
      <c r="K93" s="26"/>
      <c r="L93" s="26"/>
      <c r="M93" s="26"/>
      <c r="N93" s="26"/>
      <c r="O93" s="26"/>
      <c r="P93" s="108" t="s">
        <v>88</v>
      </c>
      <c r="Q93" s="102" t="str">
        <f>IF(C138,"P403 + P233",0)</f>
        <v>P403 + P233</v>
      </c>
      <c r="R93" s="26"/>
      <c r="S93" s="26"/>
      <c r="T93" s="26"/>
      <c r="U93" s="26"/>
      <c r="V93" s="26"/>
      <c r="W93" s="51" t="s">
        <v>91</v>
      </c>
      <c r="X93" s="51" t="s">
        <v>93</v>
      </c>
      <c r="Y93" s="49" t="s">
        <v>75</v>
      </c>
      <c r="Z93" s="26"/>
      <c r="AA93" s="26"/>
      <c r="AB93" s="26"/>
      <c r="AC93" s="26"/>
      <c r="AD93" s="105" t="s">
        <v>302</v>
      </c>
      <c r="AE93" s="105"/>
      <c r="AF93" s="108" t="s">
        <v>301</v>
      </c>
      <c r="AG93" s="102" t="s">
        <v>310</v>
      </c>
      <c r="AH93" s="102"/>
      <c r="AI93" s="26"/>
      <c r="AJ93" s="26"/>
      <c r="AK93" s="26"/>
      <c r="AL93" s="26" t="str">
        <f t="shared" si="4"/>
        <v>Warning</v>
      </c>
      <c r="AM93" s="176">
        <v>2</v>
      </c>
      <c r="AN93" s="26"/>
      <c r="AO93" s="26"/>
      <c r="AP93" s="26"/>
      <c r="AQ93" s="26"/>
      <c r="AR93" s="49">
        <f>IF($C$149,"M016",0)</f>
        <v>0</v>
      </c>
      <c r="AS93" s="49" t="str">
        <f>IF($C$147,"M017",0)</f>
        <v>M017</v>
      </c>
      <c r="AT93" s="26"/>
      <c r="AU93" s="123" t="str">
        <f>IF($C$138,"G057",0)</f>
        <v>G057</v>
      </c>
      <c r="AV93" s="26"/>
      <c r="AW93" s="26"/>
      <c r="AX93" s="26"/>
      <c r="AY93" s="136"/>
      <c r="AZ93" s="136" t="str">
        <f>VLOOKUP(E93,'H phrases'!$B$2:$C$98,2,FALSE)</f>
        <v>May cause respiratory irritation.</v>
      </c>
      <c r="BA93" s="25" t="s">
        <v>2244</v>
      </c>
      <c r="BB93" s="335"/>
      <c r="BC93" s="49" t="s">
        <v>2288</v>
      </c>
      <c r="BD93" s="336" t="s">
        <v>2262</v>
      </c>
    </row>
    <row r="94" spans="1:56" x14ac:dyDescent="0.25">
      <c r="A94" s="94"/>
      <c r="B94" s="11"/>
      <c r="C94" s="208"/>
      <c r="D94" s="12" t="s">
        <v>244</v>
      </c>
      <c r="E94" s="137" t="s">
        <v>275</v>
      </c>
      <c r="F94" s="130" t="s">
        <v>284</v>
      </c>
      <c r="G94" s="100"/>
      <c r="H94" s="167"/>
      <c r="I94" s="105" t="str">
        <f>IF(C138,"P261",0)</f>
        <v>P261</v>
      </c>
      <c r="J94" s="26"/>
      <c r="K94" s="26"/>
      <c r="L94" s="26"/>
      <c r="M94" s="26"/>
      <c r="N94" s="26"/>
      <c r="O94" s="26"/>
      <c r="P94" s="108" t="s">
        <v>88</v>
      </c>
      <c r="Q94" s="102" t="str">
        <f>IF(C138,"P403 + P233",0)</f>
        <v>P403 + P233</v>
      </c>
      <c r="R94" s="26"/>
      <c r="S94" s="26"/>
      <c r="T94" s="26"/>
      <c r="U94" s="26"/>
      <c r="V94" s="26"/>
      <c r="W94" s="51" t="s">
        <v>91</v>
      </c>
      <c r="X94" s="51" t="s">
        <v>93</v>
      </c>
      <c r="Y94" s="49" t="s">
        <v>75</v>
      </c>
      <c r="Z94" s="26"/>
      <c r="AA94" s="26"/>
      <c r="AB94" s="26"/>
      <c r="AC94" s="26"/>
      <c r="AD94" s="105" t="s">
        <v>302</v>
      </c>
      <c r="AE94" s="105"/>
      <c r="AF94" s="108" t="s">
        <v>301</v>
      </c>
      <c r="AG94" s="102" t="s">
        <v>310</v>
      </c>
      <c r="AH94" s="102"/>
      <c r="AI94" s="26"/>
      <c r="AJ94" s="26"/>
      <c r="AK94" s="26"/>
      <c r="AL94" s="26" t="str">
        <f t="shared" si="4"/>
        <v>Warning</v>
      </c>
      <c r="AM94" s="176">
        <v>2</v>
      </c>
      <c r="AN94" s="26"/>
      <c r="AO94" s="26"/>
      <c r="AP94" s="26"/>
      <c r="AQ94" s="26"/>
      <c r="AR94" s="49">
        <f>IF($C$149,"M016",0)</f>
        <v>0</v>
      </c>
      <c r="AS94" s="49" t="str">
        <f>IF($C$147,"M017",0)</f>
        <v>M017</v>
      </c>
      <c r="AT94" s="26"/>
      <c r="AU94" s="123" t="str">
        <f>IF($C$138,"G057",0)</f>
        <v>G057</v>
      </c>
      <c r="AV94" s="26"/>
      <c r="AW94" s="26"/>
      <c r="AX94" s="26"/>
      <c r="AY94" s="136"/>
      <c r="AZ94" s="136" t="str">
        <f>VLOOKUP(E94,'H phrases'!$B$2:$C$98,2,FALSE)</f>
        <v>May cause drowsiness or dizziness.</v>
      </c>
      <c r="BA94" s="25"/>
      <c r="BB94" s="335"/>
      <c r="BC94" s="26"/>
      <c r="BD94" s="337"/>
    </row>
    <row r="95" spans="1:56" x14ac:dyDescent="0.25">
      <c r="A95" s="93"/>
      <c r="B95" s="12" t="s">
        <v>220</v>
      </c>
      <c r="C95" s="208" t="s">
        <v>221</v>
      </c>
      <c r="D95" s="12" t="s">
        <v>239</v>
      </c>
      <c r="E95" s="141" t="s">
        <v>120</v>
      </c>
      <c r="F95" s="131" t="s">
        <v>285</v>
      </c>
      <c r="G95" s="122"/>
      <c r="H95" s="170" t="s">
        <v>235</v>
      </c>
      <c r="I95" s="125" t="str">
        <f>IF(C138,"P260",0)</f>
        <v>P260</v>
      </c>
      <c r="J95" s="123"/>
      <c r="K95" s="123"/>
      <c r="L95" s="123"/>
      <c r="M95" s="123"/>
      <c r="N95" s="123"/>
      <c r="O95" s="123"/>
      <c r="P95" s="126" t="s">
        <v>121</v>
      </c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4" t="s">
        <v>562</v>
      </c>
      <c r="AK95" s="124" t="s">
        <v>562</v>
      </c>
      <c r="AL95" s="26" t="str">
        <f t="shared" si="4"/>
        <v>Danger</v>
      </c>
      <c r="AM95" s="178">
        <v>4</v>
      </c>
      <c r="AN95" s="123"/>
      <c r="AO95" s="123">
        <f>IF($B$133="Oral",0,IF($B$133="Dermal","M013",IF($B$133="Inhalation",0,0)))</f>
        <v>0</v>
      </c>
      <c r="AP95" s="124" t="s">
        <v>751</v>
      </c>
      <c r="AQ95" s="123">
        <f>IF($B$133="Oral",0,IF($B$133="Dermal","M010",IF($B$133="Inhalation",0,0)))</f>
        <v>0</v>
      </c>
      <c r="AR95" s="123">
        <f>IF($B$133="Oral",0,IF($B$133="Dermal",0,IF($B$133="Inhalation",IF($C$149,"M016",0),0)))</f>
        <v>0</v>
      </c>
      <c r="AS95" s="123">
        <f>IF($B$133="Oral",0,IF($B$133="Dermal",0,IF($B$133="Inhalation",IF($C$147,"M017",0),0)))</f>
        <v>0</v>
      </c>
      <c r="AT95" s="124" t="s">
        <v>755</v>
      </c>
      <c r="AU95" s="123" t="str">
        <f>IF($C$138,"G057",0)</f>
        <v>G057</v>
      </c>
      <c r="AV95" s="123"/>
      <c r="AW95" s="123"/>
      <c r="AX95" s="123"/>
      <c r="AY95" s="297"/>
      <c r="AZ95" s="136" t="str">
        <f>VLOOKUP(E95,'H phrases'!$B$2:$C$98,2,FALSE)</f>
        <v>Causes damage to organs &lt;or state all organs affected, if known&gt; through prolonged or repeated exposure &lt;state route of exposure if it is conclusively proven that no other routes of exposure cause the hazard&gt;.</v>
      </c>
      <c r="BA95" s="25" t="s">
        <v>2244</v>
      </c>
      <c r="BB95" s="335"/>
      <c r="BC95" s="49" t="s">
        <v>2289</v>
      </c>
      <c r="BD95" s="336" t="s">
        <v>2262</v>
      </c>
    </row>
    <row r="96" spans="1:56" x14ac:dyDescent="0.25">
      <c r="A96" s="94"/>
      <c r="B96" s="11"/>
      <c r="C96" s="208" t="s">
        <v>222</v>
      </c>
      <c r="D96" s="12" t="s">
        <v>244</v>
      </c>
      <c r="E96" s="141" t="s">
        <v>122</v>
      </c>
      <c r="F96" s="131" t="s">
        <v>285</v>
      </c>
      <c r="G96" s="122"/>
      <c r="H96" s="168" t="s">
        <v>235</v>
      </c>
      <c r="I96" s="125" t="str">
        <f>IF(C138,"P260",0)</f>
        <v>P260</v>
      </c>
      <c r="J96" s="123"/>
      <c r="K96" s="123"/>
      <c r="L96" s="123"/>
      <c r="M96" s="123"/>
      <c r="N96" s="123"/>
      <c r="O96" s="123"/>
      <c r="P96" s="126" t="s">
        <v>121</v>
      </c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5"/>
      <c r="AE96" s="126" t="s">
        <v>311</v>
      </c>
      <c r="AF96" s="123"/>
      <c r="AG96" s="123"/>
      <c r="AH96" s="123"/>
      <c r="AI96" s="123"/>
      <c r="AJ96" s="123"/>
      <c r="AK96" s="124" t="s">
        <v>562</v>
      </c>
      <c r="AL96" s="26" t="str">
        <f t="shared" si="4"/>
        <v>Warning</v>
      </c>
      <c r="AM96" s="178">
        <v>3</v>
      </c>
      <c r="AN96" s="123"/>
      <c r="AO96" s="123">
        <f>IF($B$133="Oral",0,IF($B$133="Dermal","M013",IF($B$133="Inhalation",0,0)))</f>
        <v>0</v>
      </c>
      <c r="AP96" s="124" t="s">
        <v>751</v>
      </c>
      <c r="AQ96" s="123">
        <f>IF($B$133="Oral",0,IF($B$133="Dermal","M010",IF($B$133="Inhalation",0,0)))</f>
        <v>0</v>
      </c>
      <c r="AR96" s="123">
        <f>IF($B$133="Oral",0,IF($B$133="Dermal",0,IF($B$133="Inhalation",IF($C$149,"M016",0),0)))</f>
        <v>0</v>
      </c>
      <c r="AS96" s="123">
        <f>IF($B$133="Oral",0,IF($B$133="Dermal",0,IF($B$133="Inhalation",IF($C$147,"M017",0),0)))</f>
        <v>0</v>
      </c>
      <c r="AT96" s="124" t="s">
        <v>755</v>
      </c>
      <c r="AU96" s="123" t="str">
        <f>IF($C$138,"G057",0)</f>
        <v>G057</v>
      </c>
      <c r="AV96" s="123"/>
      <c r="AW96" s="123"/>
      <c r="AX96" s="123"/>
      <c r="AY96" s="297"/>
      <c r="AZ96" s="136" t="str">
        <f>VLOOKUP(E96,'H phrases'!$B$2:$C$98,2,FALSE)</f>
        <v>May cause damage to organs &lt;or state all organs affected, if known&gt; through prolonged or repeated exposure &lt;state route of exposure if it is conclusively proven that no other routes of exposure cause the hazard&gt;.</v>
      </c>
      <c r="BA96" s="25" t="s">
        <v>2244</v>
      </c>
      <c r="BB96" s="335"/>
      <c r="BC96" s="49" t="s">
        <v>2290</v>
      </c>
      <c r="BD96" s="336" t="s">
        <v>2262</v>
      </c>
    </row>
    <row r="97" spans="1:56" x14ac:dyDescent="0.25">
      <c r="A97" s="93"/>
      <c r="B97" s="12" t="s">
        <v>223</v>
      </c>
      <c r="C97" s="210" t="s">
        <v>224</v>
      </c>
      <c r="D97" s="13" t="s">
        <v>239</v>
      </c>
      <c r="E97" s="137" t="s">
        <v>123</v>
      </c>
      <c r="F97" s="130" t="s">
        <v>285</v>
      </c>
      <c r="G97" s="100"/>
      <c r="H97" s="169"/>
      <c r="I97" s="49" t="s">
        <v>72</v>
      </c>
      <c r="J97" s="49" t="s">
        <v>124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49" t="s">
        <v>75</v>
      </c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49" t="s">
        <v>562</v>
      </c>
      <c r="AK97" s="49" t="s">
        <v>562</v>
      </c>
      <c r="AL97" s="26" t="str">
        <f t="shared" si="4"/>
        <v>Danger</v>
      </c>
      <c r="AM97" s="50">
        <v>2</v>
      </c>
      <c r="AN97" s="26"/>
      <c r="AO97" s="121" t="s">
        <v>744</v>
      </c>
      <c r="AP97" s="26"/>
      <c r="AQ97" s="49" t="s">
        <v>752</v>
      </c>
      <c r="AR97" s="49">
        <f>IF($C$149,"M016",0)</f>
        <v>0</v>
      </c>
      <c r="AS97" s="49" t="str">
        <f>IF($C$147,"M017",0)</f>
        <v>M017</v>
      </c>
      <c r="AT97" s="49" t="s">
        <v>755</v>
      </c>
      <c r="AU97" s="107" t="str">
        <f>IF($C$138,"G057",0)</f>
        <v>G057</v>
      </c>
      <c r="AV97" s="26"/>
      <c r="AW97" s="26"/>
      <c r="AX97" s="26"/>
      <c r="AY97" s="136"/>
      <c r="AZ97" s="136" t="str">
        <f>VLOOKUP(E97,'H phrases'!$B$2:$C$98,2,FALSE)</f>
        <v>May be fatal if swallowed and enters airways.</v>
      </c>
      <c r="BA97" s="25" t="s">
        <v>2244</v>
      </c>
      <c r="BB97" s="335"/>
      <c r="BC97" s="49" t="s">
        <v>2291</v>
      </c>
      <c r="BD97" s="336" t="s">
        <v>2263</v>
      </c>
    </row>
    <row r="98" spans="1:56" x14ac:dyDescent="0.25">
      <c r="A98" s="92" t="s">
        <v>225</v>
      </c>
      <c r="B98" s="12" t="s">
        <v>226</v>
      </c>
      <c r="C98" s="208" t="s">
        <v>227</v>
      </c>
      <c r="D98" s="12" t="s">
        <v>244</v>
      </c>
      <c r="E98" s="137" t="s">
        <v>125</v>
      </c>
      <c r="F98" s="130" t="s">
        <v>286</v>
      </c>
      <c r="G98" s="100" t="s">
        <v>599</v>
      </c>
      <c r="H98" s="169" t="s">
        <v>806</v>
      </c>
      <c r="I98" s="26"/>
      <c r="J98" s="26"/>
      <c r="K98" s="26"/>
      <c r="L98" s="26"/>
      <c r="M98" s="26"/>
      <c r="N98" s="26"/>
      <c r="O98" s="26"/>
      <c r="P98" s="49" t="s">
        <v>126</v>
      </c>
      <c r="Q98" s="49" t="s">
        <v>127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 t="str">
        <f t="shared" si="4"/>
        <v>Warning</v>
      </c>
      <c r="AM98" s="176">
        <v>50</v>
      </c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136"/>
      <c r="AZ98" s="136" t="str">
        <f>VLOOKUP(E98,'H phrases'!$B$2:$C$98,2,FALSE)</f>
        <v>Very toxic to aquatic life.</v>
      </c>
      <c r="BA98" s="25"/>
      <c r="BB98" s="335"/>
      <c r="BC98" s="26"/>
      <c r="BD98" s="337"/>
    </row>
    <row r="99" spans="1:56" x14ac:dyDescent="0.25">
      <c r="A99" s="95"/>
      <c r="B99" s="11"/>
      <c r="C99" s="208" t="s">
        <v>228</v>
      </c>
      <c r="D99" s="12" t="s">
        <v>244</v>
      </c>
      <c r="E99" s="137" t="s">
        <v>128</v>
      </c>
      <c r="F99" s="130" t="s">
        <v>286</v>
      </c>
      <c r="G99" s="100" t="s">
        <v>599</v>
      </c>
      <c r="H99" s="169" t="s">
        <v>806</v>
      </c>
      <c r="I99" s="26"/>
      <c r="J99" s="26"/>
      <c r="K99" s="26"/>
      <c r="L99" s="26"/>
      <c r="M99" s="26"/>
      <c r="N99" s="26"/>
      <c r="O99" s="26"/>
      <c r="P99" s="49" t="s">
        <v>126</v>
      </c>
      <c r="Q99" s="49" t="s">
        <v>127</v>
      </c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 t="str">
        <f t="shared" si="4"/>
        <v>Warning</v>
      </c>
      <c r="AM99" s="176">
        <v>40</v>
      </c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136"/>
      <c r="AZ99" s="136" t="str">
        <f>VLOOKUP(E99,'H phrases'!$B$2:$C$98,2,FALSE)</f>
        <v>Very toxic to aquatic life with long lasting effects.</v>
      </c>
      <c r="BA99" s="25"/>
      <c r="BB99" s="335"/>
      <c r="BC99" s="26"/>
      <c r="BD99" s="337"/>
    </row>
    <row r="100" spans="1:56" x14ac:dyDescent="0.25">
      <c r="A100" s="96"/>
      <c r="B100" s="11"/>
      <c r="C100" s="208" t="s">
        <v>229</v>
      </c>
      <c r="D100" s="12" t="s">
        <v>277</v>
      </c>
      <c r="E100" s="137" t="s">
        <v>129</v>
      </c>
      <c r="F100" s="130" t="s">
        <v>286</v>
      </c>
      <c r="G100" s="100" t="s">
        <v>600</v>
      </c>
      <c r="H100" s="167"/>
      <c r="I100" s="26"/>
      <c r="J100" s="26"/>
      <c r="K100" s="26"/>
      <c r="L100" s="26"/>
      <c r="M100" s="26"/>
      <c r="N100" s="26"/>
      <c r="O100" s="26"/>
      <c r="P100" s="49" t="s">
        <v>126</v>
      </c>
      <c r="Q100" s="49" t="s">
        <v>127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176">
        <v>40</v>
      </c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136"/>
      <c r="AZ100" s="136" t="str">
        <f>VLOOKUP(E100,'H phrases'!$B$2:$C$98,2,FALSE)</f>
        <v>Toxic to aquatic life with long lasting effects.</v>
      </c>
      <c r="BA100" s="25"/>
      <c r="BB100" s="335"/>
      <c r="BC100" s="26"/>
      <c r="BD100" s="337"/>
    </row>
    <row r="101" spans="1:56" x14ac:dyDescent="0.25">
      <c r="A101" s="93"/>
      <c r="B101" s="11"/>
      <c r="C101" s="208" t="s">
        <v>230</v>
      </c>
      <c r="D101" s="12" t="s">
        <v>277</v>
      </c>
      <c r="E101" s="137" t="s">
        <v>130</v>
      </c>
      <c r="F101" s="130"/>
      <c r="G101" s="100"/>
      <c r="H101" s="167"/>
      <c r="I101" s="26"/>
      <c r="J101" s="26"/>
      <c r="K101" s="26"/>
      <c r="L101" s="26"/>
      <c r="M101" s="26"/>
      <c r="N101" s="26"/>
      <c r="O101" s="26"/>
      <c r="P101" s="49" t="s">
        <v>126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176">
        <v>30</v>
      </c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136"/>
      <c r="AZ101" s="136" t="str">
        <f>VLOOKUP(E101,'H phrases'!$B$2:$C$98,2,FALSE)</f>
        <v>Harmful to aquatic life with long lasting effects.</v>
      </c>
      <c r="BA101" s="25"/>
      <c r="BB101" s="335"/>
      <c r="BC101" s="26"/>
      <c r="BD101" s="337"/>
    </row>
    <row r="102" spans="1:56" x14ac:dyDescent="0.25">
      <c r="A102" s="93"/>
      <c r="B102" s="11"/>
      <c r="C102" s="208" t="s">
        <v>231</v>
      </c>
      <c r="D102" s="12" t="s">
        <v>277</v>
      </c>
      <c r="E102" s="137" t="s">
        <v>131</v>
      </c>
      <c r="F102" s="130"/>
      <c r="G102" s="100"/>
      <c r="H102" s="167"/>
      <c r="I102" s="26"/>
      <c r="J102" s="26"/>
      <c r="K102" s="26"/>
      <c r="L102" s="26"/>
      <c r="M102" s="26"/>
      <c r="N102" s="26"/>
      <c r="O102" s="26"/>
      <c r="P102" s="49" t="s">
        <v>126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176">
        <v>20</v>
      </c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136"/>
      <c r="AZ102" s="136" t="str">
        <f>VLOOKUP(E102,'H phrases'!$B$2:$C$98,2,FALSE)</f>
        <v>May cause long lasting harmful effects to aquatic life.</v>
      </c>
      <c r="BA102" s="25"/>
      <c r="BB102" s="335"/>
      <c r="BC102" s="26"/>
      <c r="BD102" s="337"/>
    </row>
    <row r="103" spans="1:56" x14ac:dyDescent="0.25">
      <c r="A103" s="92"/>
      <c r="B103" s="12" t="s">
        <v>232</v>
      </c>
      <c r="C103" s="210" t="s">
        <v>233</v>
      </c>
      <c r="D103" s="13" t="s">
        <v>244</v>
      </c>
      <c r="E103" s="137" t="s">
        <v>276</v>
      </c>
      <c r="F103" s="130" t="s">
        <v>284</v>
      </c>
      <c r="G103" s="100"/>
      <c r="H103" s="169" t="s">
        <v>235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 t="str">
        <f t="shared" si="4"/>
        <v>Warning</v>
      </c>
      <c r="AM103" s="176">
        <v>40</v>
      </c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136"/>
      <c r="AZ103" s="136" t="str">
        <f>VLOOKUP(E103,'H phrases'!$B$2:$C$98,2,FALSE)</f>
        <v>Harms public health and the environment by destroying ozone in the upperatmosphere</v>
      </c>
      <c r="BA103" s="25"/>
      <c r="BB103" s="335"/>
      <c r="BC103" s="26"/>
      <c r="BD103" s="337"/>
    </row>
    <row r="104" spans="1:56" x14ac:dyDescent="0.25">
      <c r="A104" s="93"/>
      <c r="B104" s="11"/>
      <c r="C104" s="172"/>
      <c r="D104" s="11"/>
      <c r="E104" s="137" t="s">
        <v>602</v>
      </c>
      <c r="F104" s="34"/>
      <c r="G104" s="26"/>
      <c r="H104" s="169" t="s">
        <v>235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>
        <f t="shared" si="4"/>
        <v>0</v>
      </c>
      <c r="AM104" s="176">
        <v>400</v>
      </c>
      <c r="AN104" s="26"/>
      <c r="AO104" s="121" t="s">
        <v>744</v>
      </c>
      <c r="AP104" s="49" t="s">
        <v>751</v>
      </c>
      <c r="AQ104" s="49" t="s">
        <v>752</v>
      </c>
      <c r="AR104" s="26"/>
      <c r="AS104" s="26"/>
      <c r="AT104" s="26"/>
      <c r="AU104" s="26"/>
      <c r="AV104" s="49" t="s">
        <v>763</v>
      </c>
      <c r="AW104" s="49" t="s">
        <v>765</v>
      </c>
      <c r="AX104" s="26"/>
      <c r="AY104" s="136"/>
      <c r="AZ104" s="136" t="str">
        <f>VLOOKUP(E104,'H phrases'!$B$2:$C$98,2,FALSE)</f>
        <v>Explosive when dry.</v>
      </c>
      <c r="BA104" s="25" t="s">
        <v>2253</v>
      </c>
      <c r="BB104" s="335"/>
      <c r="BC104" s="26"/>
      <c r="BD104" s="336" t="s">
        <v>2341</v>
      </c>
    </row>
    <row r="105" spans="1:56" x14ac:dyDescent="0.25">
      <c r="A105" s="93"/>
      <c r="B105" s="11"/>
      <c r="C105" s="172"/>
      <c r="D105" s="11"/>
      <c r="E105" s="137" t="s">
        <v>603</v>
      </c>
      <c r="F105" s="34"/>
      <c r="G105" s="26"/>
      <c r="H105" s="169" t="s">
        <v>235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>
        <f t="shared" si="4"/>
        <v>0</v>
      </c>
      <c r="AM105" s="176">
        <v>400</v>
      </c>
      <c r="AN105" s="26"/>
      <c r="AO105" s="121" t="s">
        <v>744</v>
      </c>
      <c r="AP105" s="49" t="s">
        <v>751</v>
      </c>
      <c r="AQ105" s="49" t="s">
        <v>752</v>
      </c>
      <c r="AR105" s="26"/>
      <c r="AS105" s="26"/>
      <c r="AT105" s="26"/>
      <c r="AU105" s="26"/>
      <c r="AV105" s="49" t="s">
        <v>763</v>
      </c>
      <c r="AW105" s="49" t="s">
        <v>765</v>
      </c>
      <c r="AX105" s="26"/>
      <c r="AY105" s="136"/>
      <c r="AZ105" s="136" t="str">
        <f>VLOOKUP(E105,'H phrases'!$B$2:$C$98,2,FALSE)</f>
        <v>Explosive with or without contact with air.</v>
      </c>
      <c r="BA105" s="25"/>
      <c r="BB105" s="335"/>
      <c r="BC105" s="26"/>
      <c r="BD105" s="337"/>
    </row>
    <row r="106" spans="1:56" x14ac:dyDescent="0.25">
      <c r="A106" s="94"/>
      <c r="B106" s="11"/>
      <c r="C106" s="172"/>
      <c r="D106" s="11"/>
      <c r="E106" s="137" t="s">
        <v>604</v>
      </c>
      <c r="F106" s="34"/>
      <c r="G106" s="49" t="s">
        <v>627</v>
      </c>
      <c r="H106" s="169" t="s">
        <v>235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>
        <f t="shared" si="4"/>
        <v>0</v>
      </c>
      <c r="AM106" s="176">
        <v>400</v>
      </c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49" t="s">
        <v>766</v>
      </c>
      <c r="AY106" s="296" t="s">
        <v>767</v>
      </c>
      <c r="AZ106" s="136" t="str">
        <f>VLOOKUP(E106,'H phrases'!$B$2:$C$98,2,FALSE)</f>
        <v>Reacts violently with water.</v>
      </c>
      <c r="BA106" s="25"/>
      <c r="BB106" s="335"/>
      <c r="BC106" s="26"/>
      <c r="BD106" s="337"/>
    </row>
    <row r="107" spans="1:56" x14ac:dyDescent="0.25">
      <c r="A107" s="93"/>
      <c r="B107" s="11"/>
      <c r="C107" s="172"/>
      <c r="D107" s="11"/>
      <c r="E107" s="137" t="s">
        <v>605</v>
      </c>
      <c r="F107" s="34"/>
      <c r="G107" s="26"/>
      <c r="H107" s="169" t="s">
        <v>235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>
        <f t="shared" si="4"/>
        <v>0</v>
      </c>
      <c r="AM107" s="176">
        <v>400</v>
      </c>
      <c r="AN107" s="26"/>
      <c r="AO107" s="121" t="s">
        <v>744</v>
      </c>
      <c r="AP107" s="49" t="s">
        <v>751</v>
      </c>
      <c r="AQ107" s="49" t="s">
        <v>752</v>
      </c>
      <c r="AR107" s="26"/>
      <c r="AS107" s="26"/>
      <c r="AT107" s="26"/>
      <c r="AU107" s="49" t="s">
        <v>764</v>
      </c>
      <c r="AV107" s="49" t="s">
        <v>763</v>
      </c>
      <c r="AW107" s="49" t="s">
        <v>765</v>
      </c>
      <c r="AX107" s="26"/>
      <c r="AY107" s="136"/>
      <c r="AZ107" s="136" t="str">
        <f>VLOOKUP(E107,'H phrases'!$B$2:$C$98,2,FALSE)</f>
        <v>In use may form flammable/explosive vapour-air mixture.</v>
      </c>
      <c r="BA107" s="25"/>
      <c r="BB107" s="335"/>
      <c r="BC107" s="26"/>
      <c r="BD107" s="337"/>
    </row>
    <row r="108" spans="1:56" x14ac:dyDescent="0.25">
      <c r="A108" s="94"/>
      <c r="B108" s="11"/>
      <c r="C108" s="172"/>
      <c r="D108" s="11"/>
      <c r="E108" s="137" t="s">
        <v>606</v>
      </c>
      <c r="F108" s="34"/>
      <c r="G108" s="26"/>
      <c r="H108" s="169" t="s">
        <v>235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>
        <f t="shared" si="4"/>
        <v>0</v>
      </c>
      <c r="AM108" s="176">
        <v>400</v>
      </c>
      <c r="AN108" s="26"/>
      <c r="AO108" s="121" t="s">
        <v>744</v>
      </c>
      <c r="AP108" s="49" t="s">
        <v>751</v>
      </c>
      <c r="AQ108" s="49" t="s">
        <v>752</v>
      </c>
      <c r="AR108" s="26"/>
      <c r="AS108" s="26"/>
      <c r="AT108" s="26"/>
      <c r="AU108" s="49" t="s">
        <v>764</v>
      </c>
      <c r="AV108" s="49" t="s">
        <v>763</v>
      </c>
      <c r="AW108" s="49" t="s">
        <v>765</v>
      </c>
      <c r="AX108" s="26"/>
      <c r="AY108" s="136"/>
      <c r="AZ108" s="136" t="str">
        <f>VLOOKUP(E108,'H phrases'!$B$2:$C$98,2,FALSE)</f>
        <v>May form explosive peroxides.</v>
      </c>
      <c r="BA108" s="25" t="s">
        <v>2253</v>
      </c>
      <c r="BB108" s="335"/>
      <c r="BC108" s="26"/>
      <c r="BD108" s="336" t="s">
        <v>2342</v>
      </c>
    </row>
    <row r="109" spans="1:56" x14ac:dyDescent="0.25">
      <c r="A109" s="94"/>
      <c r="B109" s="11"/>
      <c r="C109" s="172"/>
      <c r="D109" s="11"/>
      <c r="E109" s="137" t="s">
        <v>607</v>
      </c>
      <c r="F109" s="34"/>
      <c r="G109" s="49" t="s">
        <v>628</v>
      </c>
      <c r="H109" s="167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>
        <f t="shared" si="4"/>
        <v>0</v>
      </c>
      <c r="AM109" s="176">
        <v>4</v>
      </c>
      <c r="AN109" s="26"/>
      <c r="AO109" s="26"/>
      <c r="AP109" s="26"/>
      <c r="AQ109" s="26"/>
      <c r="AR109" s="49">
        <f>IF($C$149,"M016",0)</f>
        <v>0</v>
      </c>
      <c r="AS109" s="49" t="str">
        <f>IF($C$147,"M017",0)</f>
        <v>M017</v>
      </c>
      <c r="AT109" s="26"/>
      <c r="AU109" s="49"/>
      <c r="AV109" s="26"/>
      <c r="AW109" s="26"/>
      <c r="AX109" s="49" t="s">
        <v>766</v>
      </c>
      <c r="AY109" s="296" t="s">
        <v>767</v>
      </c>
      <c r="AZ109" s="136" t="str">
        <f>VLOOKUP(E109,'H phrases'!$B$2:$C$98,2,FALSE)</f>
        <v>Contact with water liberates toxic gas.</v>
      </c>
      <c r="BA109" s="25" t="s">
        <v>2250</v>
      </c>
      <c r="BB109" s="335"/>
      <c r="BC109" s="26"/>
      <c r="BD109" s="336" t="s">
        <v>2301</v>
      </c>
    </row>
    <row r="110" spans="1:56" x14ac:dyDescent="0.25">
      <c r="A110" s="94"/>
      <c r="B110" s="11"/>
      <c r="C110" s="172"/>
      <c r="D110" s="11"/>
      <c r="E110" s="137" t="s">
        <v>608</v>
      </c>
      <c r="F110" s="34"/>
      <c r="G110" s="26"/>
      <c r="H110" s="169" t="s">
        <v>235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>
        <f t="shared" si="4"/>
        <v>0</v>
      </c>
      <c r="AM110" s="176">
        <v>4</v>
      </c>
      <c r="AN110" s="26"/>
      <c r="AO110" s="26"/>
      <c r="AP110" s="26"/>
      <c r="AQ110" s="26"/>
      <c r="AR110" s="49"/>
      <c r="AS110" s="49"/>
      <c r="AT110" s="26"/>
      <c r="AU110" s="49"/>
      <c r="AV110" s="26"/>
      <c r="AW110" s="26"/>
      <c r="AX110" s="26"/>
      <c r="AY110" s="296" t="s">
        <v>767</v>
      </c>
      <c r="AZ110" s="136" t="str">
        <f>VLOOKUP(E110,'H phrases'!$B$2:$C$98,2,FALSE)</f>
        <v>Contact with acids liberates toxic gas.</v>
      </c>
      <c r="BA110" s="25" t="s">
        <v>2250</v>
      </c>
      <c r="BB110" s="335"/>
      <c r="BC110" s="26"/>
      <c r="BD110" s="336" t="s">
        <v>2302</v>
      </c>
    </row>
    <row r="111" spans="1:56" x14ac:dyDescent="0.25">
      <c r="A111" s="94"/>
      <c r="B111" s="11"/>
      <c r="C111" s="172"/>
      <c r="D111" s="11"/>
      <c r="E111" s="137" t="s">
        <v>609</v>
      </c>
      <c r="F111" s="34"/>
      <c r="G111" s="26"/>
      <c r="H111" s="169" t="s">
        <v>235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>
        <f t="shared" si="4"/>
        <v>0</v>
      </c>
      <c r="AM111" s="176">
        <v>5</v>
      </c>
      <c r="AN111" s="26"/>
      <c r="AO111" s="26"/>
      <c r="AP111" s="26"/>
      <c r="AQ111" s="26"/>
      <c r="AR111" s="49"/>
      <c r="AS111" s="49"/>
      <c r="AT111" s="26"/>
      <c r="AU111" s="49"/>
      <c r="AV111" s="26"/>
      <c r="AW111" s="26"/>
      <c r="AX111" s="26"/>
      <c r="AY111" s="296" t="s">
        <v>767</v>
      </c>
      <c r="AZ111" s="136" t="str">
        <f>VLOOKUP(E111,'H phrases'!$B$2:$C$98,2,FALSE)</f>
        <v>Contact with acids liberates very toxic gas.</v>
      </c>
      <c r="BA111" s="25" t="s">
        <v>2250</v>
      </c>
      <c r="BB111" s="335"/>
      <c r="BC111" s="26"/>
      <c r="BD111" s="336" t="s">
        <v>2303</v>
      </c>
    </row>
    <row r="112" spans="1:56" x14ac:dyDescent="0.25">
      <c r="A112" s="94"/>
      <c r="B112" s="11"/>
      <c r="C112" s="172"/>
      <c r="D112" s="11"/>
      <c r="E112" s="137" t="s">
        <v>610</v>
      </c>
      <c r="F112" s="34"/>
      <c r="G112" s="26"/>
      <c r="H112" s="169" t="s">
        <v>235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>
        <f t="shared" si="4"/>
        <v>0</v>
      </c>
      <c r="AM112" s="176">
        <v>400</v>
      </c>
      <c r="AN112" s="26"/>
      <c r="AO112" s="26"/>
      <c r="AP112" s="26"/>
      <c r="AQ112" s="26"/>
      <c r="AR112" s="26"/>
      <c r="AS112" s="26"/>
      <c r="AT112" s="26"/>
      <c r="AU112" s="49" t="s">
        <v>764</v>
      </c>
      <c r="AV112" s="26"/>
      <c r="AW112" s="49" t="s">
        <v>765</v>
      </c>
      <c r="AX112" s="26"/>
      <c r="AY112" s="136"/>
      <c r="AZ112" s="136" t="str">
        <f>VLOOKUP(E112,'H phrases'!$B$2:$C$98,2,FALSE)</f>
        <v>Risk of explosion if heated under confinement.</v>
      </c>
      <c r="BA112" s="25" t="s">
        <v>2253</v>
      </c>
      <c r="BB112" s="335"/>
      <c r="BC112" s="26"/>
      <c r="BD112" s="336" t="s">
        <v>2343</v>
      </c>
    </row>
    <row r="113" spans="1:56" x14ac:dyDescent="0.25">
      <c r="A113" s="93"/>
      <c r="B113" s="11"/>
      <c r="C113" s="172"/>
      <c r="D113" s="11"/>
      <c r="E113" s="137" t="s">
        <v>611</v>
      </c>
      <c r="F113" s="34"/>
      <c r="G113" s="26"/>
      <c r="H113" s="167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>
        <f t="shared" si="4"/>
        <v>0</v>
      </c>
      <c r="AM113" s="176">
        <v>2</v>
      </c>
      <c r="AN113" s="26"/>
      <c r="AO113" s="26"/>
      <c r="AP113" s="49" t="s">
        <v>751</v>
      </c>
      <c r="AQ113" s="26"/>
      <c r="AR113" s="26"/>
      <c r="AS113" s="26"/>
      <c r="AT113" s="49" t="s">
        <v>755</v>
      </c>
      <c r="AU113" s="26"/>
      <c r="AV113" s="26"/>
      <c r="AW113" s="26"/>
      <c r="AX113" s="26"/>
      <c r="AY113" s="136"/>
      <c r="AZ113" s="136" t="str">
        <f>VLOOKUP(E113,'H phrases'!$B$2:$C$98,2,FALSE)</f>
        <v>Repeated exposure may cause skin dryness or cracking.</v>
      </c>
      <c r="BA113" s="25"/>
      <c r="BB113" s="335"/>
      <c r="BC113" s="26"/>
      <c r="BD113" s="337"/>
    </row>
    <row r="114" spans="1:56" x14ac:dyDescent="0.25">
      <c r="A114" s="94"/>
      <c r="B114" s="11"/>
      <c r="C114" s="172"/>
      <c r="D114" s="11"/>
      <c r="E114" s="137" t="s">
        <v>612</v>
      </c>
      <c r="F114" s="34"/>
      <c r="G114" s="26"/>
      <c r="H114" s="169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>
        <f t="shared" si="4"/>
        <v>0</v>
      </c>
      <c r="AM114" s="176">
        <v>4</v>
      </c>
      <c r="AN114" s="49" t="s">
        <v>743</v>
      </c>
      <c r="AO114" s="26"/>
      <c r="AP114" s="26"/>
      <c r="AQ114" s="26"/>
      <c r="AR114" s="26"/>
      <c r="AS114" s="26"/>
      <c r="AT114" s="49" t="s">
        <v>755</v>
      </c>
      <c r="AU114" s="26"/>
      <c r="AV114" s="26"/>
      <c r="AW114" s="26"/>
      <c r="AX114" s="26"/>
      <c r="AY114" s="136"/>
      <c r="AZ114" s="136" t="str">
        <f>VLOOKUP(E114,'H phrases'!$B$2:$C$98,2,FALSE)</f>
        <v>Toxic by eye contact.</v>
      </c>
      <c r="BA114" s="25"/>
      <c r="BB114" s="335"/>
      <c r="BC114" s="26"/>
      <c r="BD114" s="337"/>
    </row>
    <row r="115" spans="1:56" x14ac:dyDescent="0.25">
      <c r="A115" s="95"/>
      <c r="B115" s="11"/>
      <c r="C115" s="172"/>
      <c r="D115" s="11"/>
      <c r="E115" s="137" t="s">
        <v>613</v>
      </c>
      <c r="F115" s="34"/>
      <c r="G115" s="26"/>
      <c r="H115" s="169" t="s">
        <v>235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>
        <f t="shared" si="4"/>
        <v>0</v>
      </c>
      <c r="AM115" s="176">
        <v>3</v>
      </c>
      <c r="AN115" s="26"/>
      <c r="AO115" s="26"/>
      <c r="AP115" s="26"/>
      <c r="AQ115" s="26"/>
      <c r="AR115" s="49">
        <f>IF($C$149,"M016",0)</f>
        <v>0</v>
      </c>
      <c r="AS115" s="49" t="str">
        <f>IF($C$147,"M017",0)</f>
        <v>M017</v>
      </c>
      <c r="AT115" s="26"/>
      <c r="AU115" s="107" t="str">
        <f>IF($C$138,"G057",0)</f>
        <v>G057</v>
      </c>
      <c r="AV115" s="26"/>
      <c r="AW115" s="26"/>
      <c r="AX115" s="26"/>
      <c r="AY115" s="136"/>
      <c r="AZ115" s="136" t="str">
        <f>VLOOKUP(E115,'H phrases'!$B$2:$C$98,2,FALSE)</f>
        <v>Corrosive to the respiratory tract.</v>
      </c>
      <c r="BA115" s="25"/>
      <c r="BB115" s="335"/>
      <c r="BC115" s="26"/>
      <c r="BD115" s="337"/>
    </row>
    <row r="116" spans="1:56" x14ac:dyDescent="0.25">
      <c r="A116" s="96"/>
      <c r="B116" s="11"/>
      <c r="C116" s="172"/>
      <c r="D116" s="11"/>
      <c r="E116" s="137" t="s">
        <v>614</v>
      </c>
      <c r="F116" s="34"/>
      <c r="G116" s="26"/>
      <c r="H116" s="167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>
        <f t="shared" si="4"/>
        <v>0</v>
      </c>
      <c r="AM116" s="17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136"/>
      <c r="AZ116" s="136" t="str">
        <f>VLOOKUP(E116,'H phrases'!$B$2:$C$98,2,FALSE)</f>
        <v>Contains lead. Should not be used on surfaces liable to be chewed or sucked by children.</v>
      </c>
      <c r="BA116" s="25"/>
      <c r="BB116" s="335"/>
      <c r="BC116" s="26"/>
      <c r="BD116" s="337"/>
    </row>
    <row r="117" spans="1:56" x14ac:dyDescent="0.25">
      <c r="A117" s="93"/>
      <c r="B117" s="11"/>
      <c r="C117" s="172"/>
      <c r="D117" s="11"/>
      <c r="E117" s="137" t="s">
        <v>615</v>
      </c>
      <c r="F117" s="34"/>
      <c r="G117" s="26"/>
      <c r="H117" s="167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>
        <f t="shared" si="4"/>
        <v>0</v>
      </c>
      <c r="AM117" s="17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136"/>
      <c r="AZ117" s="136" t="str">
        <f>VLOOKUP(E117,'H phrases'!$B$2:$C$98,2,FALSE)</f>
        <v>Warning! Contains lead.</v>
      </c>
      <c r="BA117" s="25"/>
      <c r="BB117" s="335"/>
      <c r="BC117" s="26"/>
      <c r="BD117" s="337"/>
    </row>
    <row r="118" spans="1:56" x14ac:dyDescent="0.25">
      <c r="A118" s="93"/>
      <c r="B118" s="11"/>
      <c r="C118" s="172"/>
      <c r="D118" s="11"/>
      <c r="E118" s="137" t="s">
        <v>616</v>
      </c>
      <c r="F118" s="34"/>
      <c r="G118" s="26"/>
      <c r="H118" s="167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>
        <f t="shared" si="4"/>
        <v>0</v>
      </c>
      <c r="AM118" s="176"/>
      <c r="AN118" s="49" t="s">
        <v>743</v>
      </c>
      <c r="AO118" s="26"/>
      <c r="AP118" s="49" t="s">
        <v>751</v>
      </c>
      <c r="AQ118" s="26"/>
      <c r="AR118" s="26"/>
      <c r="AS118" s="26"/>
      <c r="AT118" s="49" t="s">
        <v>755</v>
      </c>
      <c r="AU118" s="26"/>
      <c r="AV118" s="26"/>
      <c r="AW118" s="26"/>
      <c r="AX118" s="26"/>
      <c r="AY118" s="136"/>
      <c r="AZ118" s="136" t="str">
        <f>VLOOKUP(E118,'H phrases'!$B$2:$C$98,2,FALSE)</f>
        <v>Cyanoacrylate. Danger. Bonds skin and eyes in seconds. Keep out of the reach of children.</v>
      </c>
      <c r="BA118" s="25"/>
      <c r="BB118" s="335"/>
      <c r="BC118" s="26"/>
      <c r="BD118" s="337"/>
    </row>
    <row r="119" spans="1:56" x14ac:dyDescent="0.25">
      <c r="A119" s="93"/>
      <c r="B119" s="11"/>
      <c r="C119" s="172"/>
      <c r="D119" s="11"/>
      <c r="E119" s="137" t="s">
        <v>617</v>
      </c>
      <c r="F119" s="34"/>
      <c r="G119" s="26"/>
      <c r="H119" s="169" t="s">
        <v>235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>
        <f t="shared" si="4"/>
        <v>0</v>
      </c>
      <c r="AM119" s="17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136"/>
      <c r="AZ119" s="136" t="str">
        <f>VLOOKUP(E119,'H phrases'!$B$2:$C$98,2,FALSE)</f>
        <v>Contains chromium (VI). May produce an allergic reaction.</v>
      </c>
      <c r="BA119" s="25"/>
      <c r="BB119" s="335"/>
      <c r="BC119" s="26"/>
      <c r="BD119" s="337"/>
    </row>
    <row r="120" spans="1:56" x14ac:dyDescent="0.25">
      <c r="A120" s="93"/>
      <c r="B120" s="11"/>
      <c r="C120" s="172"/>
      <c r="D120" s="11"/>
      <c r="E120" s="137" t="s">
        <v>618</v>
      </c>
      <c r="F120" s="34"/>
      <c r="G120" s="26"/>
      <c r="H120" s="169" t="s">
        <v>235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>
        <f t="shared" si="4"/>
        <v>0</v>
      </c>
      <c r="AM120" s="17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136"/>
      <c r="AZ120" s="136" t="str">
        <f>VLOOKUP(E120,'H phrases'!$B$2:$C$98,2,FALSE)</f>
        <v xml:space="preserve">Contains isocyanates. May produce an allergic reaction. </v>
      </c>
      <c r="BA120" s="25"/>
      <c r="BB120" s="335"/>
      <c r="BC120" s="26"/>
      <c r="BD120" s="337"/>
    </row>
    <row r="121" spans="1:56" x14ac:dyDescent="0.25">
      <c r="A121" s="93"/>
      <c r="B121" s="11"/>
      <c r="C121" s="172"/>
      <c r="D121" s="11"/>
      <c r="E121" s="137" t="s">
        <v>619</v>
      </c>
      <c r="F121" s="34"/>
      <c r="G121" s="26"/>
      <c r="H121" s="169" t="s">
        <v>235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>
        <f t="shared" si="4"/>
        <v>0</v>
      </c>
      <c r="AM121" s="17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136"/>
      <c r="AZ121" s="136" t="str">
        <f>VLOOKUP(E121,'H phrases'!$B$2:$C$98,2,FALSE)</f>
        <v xml:space="preserve">Contains epoxy constituents. May produce an allergic reaction. </v>
      </c>
      <c r="BA121" s="25"/>
      <c r="BB121" s="335"/>
      <c r="BC121" s="26"/>
      <c r="BD121" s="337"/>
    </row>
    <row r="122" spans="1:56" x14ac:dyDescent="0.25">
      <c r="A122" s="93"/>
      <c r="B122" s="11"/>
      <c r="C122" s="172"/>
      <c r="D122" s="11"/>
      <c r="E122" s="137" t="s">
        <v>620</v>
      </c>
      <c r="F122" s="34"/>
      <c r="G122" s="26"/>
      <c r="H122" s="167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>
        <f t="shared" si="4"/>
        <v>0</v>
      </c>
      <c r="AM122" s="176"/>
      <c r="AN122" s="26"/>
      <c r="AO122" s="26"/>
      <c r="AP122" s="26"/>
      <c r="AQ122" s="26"/>
      <c r="AR122" s="26"/>
      <c r="AS122" s="26"/>
      <c r="AT122" s="26"/>
      <c r="AU122" s="49"/>
      <c r="AV122" s="26"/>
      <c r="AW122" s="26"/>
      <c r="AX122" s="26"/>
      <c r="AY122" s="296" t="s">
        <v>767</v>
      </c>
      <c r="AZ122" s="136" t="str">
        <f>VLOOKUP(E122,'H phrases'!$B$2:$C$98,2,FALSE)</f>
        <v>Warning! Do not use together with other products. May release dangerous gases (chlorine).</v>
      </c>
      <c r="BA122" s="25"/>
      <c r="BB122" s="335"/>
      <c r="BC122" s="26"/>
      <c r="BD122" s="337"/>
    </row>
    <row r="123" spans="1:56" x14ac:dyDescent="0.25">
      <c r="A123" s="93"/>
      <c r="B123" s="11"/>
      <c r="C123" s="172"/>
      <c r="D123" s="11"/>
      <c r="E123" s="137" t="s">
        <v>621</v>
      </c>
      <c r="F123" s="34"/>
      <c r="G123" s="26"/>
      <c r="H123" s="169" t="s">
        <v>235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>
        <f t="shared" si="4"/>
        <v>0</v>
      </c>
      <c r="AM123" s="176"/>
      <c r="AN123" s="26"/>
      <c r="AO123" s="26"/>
      <c r="AP123" s="26"/>
      <c r="AQ123" s="26"/>
      <c r="AR123" s="26"/>
      <c r="AS123" s="26"/>
      <c r="AT123" s="26"/>
      <c r="AU123" s="49" t="s">
        <v>764</v>
      </c>
      <c r="AV123" s="26"/>
      <c r="AW123" s="26"/>
      <c r="AX123" s="26"/>
      <c r="AY123" s="136"/>
      <c r="AZ123" s="136" t="str">
        <f>VLOOKUP(E123,'H phrases'!$B$2:$C$98,2,FALSE)</f>
        <v>Warning! Contains cadmium. Dangerous fumes are formed during use. See information supplied by the manufacturer. Comply with the safety instructions.</v>
      </c>
      <c r="BA123" s="25"/>
      <c r="BB123" s="335"/>
      <c r="BC123" s="26"/>
      <c r="BD123" s="337"/>
    </row>
    <row r="124" spans="1:56" x14ac:dyDescent="0.25">
      <c r="A124" s="93"/>
      <c r="B124" s="11"/>
      <c r="C124" s="172"/>
      <c r="D124" s="11"/>
      <c r="E124" s="137" t="s">
        <v>622</v>
      </c>
      <c r="F124" s="34"/>
      <c r="G124" s="26"/>
      <c r="H124" s="169" t="s">
        <v>235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>
        <f t="shared" si="4"/>
        <v>0</v>
      </c>
      <c r="AM124" s="17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136"/>
      <c r="AZ124" s="136" t="str">
        <f>VLOOKUP(E124,'H phrases'!$B$2:$C$98,2,FALSE)</f>
        <v>Contains &lt;name of sensitising substance&gt;. May produce an allergic reaction.</v>
      </c>
      <c r="BA124" s="25"/>
      <c r="BB124" s="335"/>
      <c r="BC124" s="26"/>
      <c r="BD124" s="337"/>
    </row>
    <row r="125" spans="1:56" x14ac:dyDescent="0.25">
      <c r="A125" s="93"/>
      <c r="B125" s="11"/>
      <c r="C125" s="172"/>
      <c r="D125" s="11"/>
      <c r="E125" s="137" t="s">
        <v>623</v>
      </c>
      <c r="F125" s="34"/>
      <c r="G125" s="26"/>
      <c r="H125" s="169" t="s">
        <v>235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>
        <f t="shared" si="4"/>
        <v>0</v>
      </c>
      <c r="AM125" s="176"/>
      <c r="AN125" s="26"/>
      <c r="AO125" s="26"/>
      <c r="AP125" s="26"/>
      <c r="AQ125" s="26"/>
      <c r="AR125" s="26"/>
      <c r="AS125" s="26"/>
      <c r="AT125" s="26"/>
      <c r="AU125" s="26"/>
      <c r="AV125" s="49" t="s">
        <v>763</v>
      </c>
      <c r="AW125" s="49" t="s">
        <v>765</v>
      </c>
      <c r="AX125" s="26"/>
      <c r="AY125" s="136"/>
      <c r="AZ125" s="136" t="str">
        <f>VLOOKUP(E125,'H phrases'!$B$2:$C$98,2,FALSE)</f>
        <v>Can become highly flammable in use.</v>
      </c>
      <c r="BA125" s="25"/>
      <c r="BB125" s="335"/>
      <c r="BC125" s="26"/>
      <c r="BD125" s="337"/>
    </row>
    <row r="126" spans="1:56" x14ac:dyDescent="0.25">
      <c r="A126" s="93"/>
      <c r="B126" s="11"/>
      <c r="C126" s="172"/>
      <c r="D126" s="11"/>
      <c r="E126" s="137" t="s">
        <v>624</v>
      </c>
      <c r="F126" s="34"/>
      <c r="G126" s="26"/>
      <c r="H126" s="169" t="s">
        <v>235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>
        <f t="shared" si="4"/>
        <v>0</v>
      </c>
      <c r="AM126" s="176"/>
      <c r="AN126" s="26"/>
      <c r="AO126" s="26"/>
      <c r="AP126" s="26"/>
      <c r="AQ126" s="26"/>
      <c r="AR126" s="26"/>
      <c r="AS126" s="26"/>
      <c r="AT126" s="26"/>
      <c r="AU126" s="26"/>
      <c r="AV126" s="49" t="s">
        <v>763</v>
      </c>
      <c r="AW126" s="49" t="s">
        <v>765</v>
      </c>
      <c r="AX126" s="26"/>
      <c r="AY126" s="136"/>
      <c r="AZ126" s="136" t="str">
        <f>VLOOKUP(E126,'H phrases'!$B$2:$C$98,2,FALSE)</f>
        <v>Can become flammable in use.</v>
      </c>
      <c r="BA126" s="25"/>
      <c r="BB126" s="335"/>
      <c r="BC126" s="26"/>
      <c r="BD126" s="337"/>
    </row>
    <row r="127" spans="1:56" x14ac:dyDescent="0.25">
      <c r="A127" s="93"/>
      <c r="B127" s="11"/>
      <c r="C127" s="172"/>
      <c r="D127" s="11"/>
      <c r="E127" s="137" t="s">
        <v>625</v>
      </c>
      <c r="F127" s="34"/>
      <c r="G127" s="26"/>
      <c r="H127" s="167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>
        <f t="shared" si="4"/>
        <v>0</v>
      </c>
      <c r="AM127" s="17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136"/>
      <c r="AZ127" s="136" t="str">
        <f>VLOOKUP(E127,'H phrases'!$B$2:$C$98,2,FALSE)</f>
        <v>Safety data sheet available on request.</v>
      </c>
      <c r="BA127" s="25"/>
      <c r="BB127" s="335"/>
      <c r="BC127" s="26"/>
      <c r="BD127" s="337"/>
    </row>
    <row r="128" spans="1:56" x14ac:dyDescent="0.25">
      <c r="A128" s="18"/>
      <c r="B128" s="19"/>
      <c r="C128" s="211"/>
      <c r="D128" s="19"/>
      <c r="E128" s="143" t="s">
        <v>626</v>
      </c>
      <c r="F128" s="133"/>
      <c r="G128" s="113"/>
      <c r="H128" s="171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26">
        <f t="shared" si="4"/>
        <v>0</v>
      </c>
      <c r="AM128" s="179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298"/>
      <c r="AZ128" s="136" t="str">
        <f>VLOOKUP(E128,'H phrases'!$B$2:$C$98,2,FALSE)</f>
        <v>To avoid risks to human health and the environment, comply with the instructions for use.</v>
      </c>
      <c r="BA128" s="25"/>
      <c r="BB128" s="340"/>
      <c r="BC128" s="113"/>
      <c r="BD128" s="341"/>
    </row>
    <row r="129" spans="1:42" x14ac:dyDescent="0.25">
      <c r="C129" s="195" t="b">
        <f>OR(C130,D130,E130,F130,G130,H130,I130,J130,K130,L130,M130,N130,O130,P130,Q130,R130,S130,T130,U130,V130,W130,X130,Y130,Z130,AA130,AB130,AC130)</f>
        <v>0</v>
      </c>
      <c r="E129" s="129"/>
    </row>
    <row r="130" spans="1:42" x14ac:dyDescent="0.25">
      <c r="C130" s="195" t="b">
        <f>OR('gevaarljike stoffen'!$B$4=C131,'gevaarljike stoffen'!$B$5=C131,'gevaarljike stoffen'!$B$6=C131,'gevaarljike stoffen'!$B$7=C131,'gevaarljike stoffen'!$B$8=C131,'gevaarljike stoffen'!$B$9=C131)</f>
        <v>0</v>
      </c>
      <c r="D130" s="2" t="b">
        <f>OR('gevaarljike stoffen'!$B$4=D131,'gevaarljike stoffen'!$B$5=D131,'gevaarljike stoffen'!$B$6=D131,'gevaarljike stoffen'!$B$7=D131,'gevaarljike stoffen'!$B$8=D131,'gevaarljike stoffen'!$B$9=D131)</f>
        <v>0</v>
      </c>
      <c r="E130" s="2" t="b">
        <f>OR('gevaarljike stoffen'!$B$4=E131,'gevaarljike stoffen'!$B$5=E131,'gevaarljike stoffen'!$B$6=E131,'gevaarljike stoffen'!$B$7=E131,'gevaarljike stoffen'!$B$8=E131,'gevaarljike stoffen'!$B$9=E131)</f>
        <v>0</v>
      </c>
      <c r="F130" s="2" t="b">
        <f>OR('gevaarljike stoffen'!$B$4=F131,'gevaarljike stoffen'!$B$5=F131,'gevaarljike stoffen'!$B$6=F131,'gevaarljike stoffen'!$B$7=F131,'gevaarljike stoffen'!$B$8=F131,'gevaarljike stoffen'!$B$9=F131)</f>
        <v>0</v>
      </c>
      <c r="G130" s="2" t="b">
        <f>OR('gevaarljike stoffen'!$B$4=G131,'gevaarljike stoffen'!$B$5=G131,'gevaarljike stoffen'!$B$6=G131,'gevaarljike stoffen'!$B$7=G131,'gevaarljike stoffen'!$B$8=G131,'gevaarljike stoffen'!$B$9=G131)</f>
        <v>0</v>
      </c>
      <c r="H130" s="2" t="b">
        <f>OR('gevaarljike stoffen'!$B$4=H131,'gevaarljike stoffen'!$B$5=H131,'gevaarljike stoffen'!$B$6=H131,'gevaarljike stoffen'!$B$7=H131,'gevaarljike stoffen'!$B$8=H131,'gevaarljike stoffen'!$B$9=H131)</f>
        <v>0</v>
      </c>
      <c r="I130" s="2" t="b">
        <f>OR('gevaarljike stoffen'!$B$4=I131,'gevaarljike stoffen'!$B$5=I131,'gevaarljike stoffen'!$B$6=I131,'gevaarljike stoffen'!$B$7=I131,'gevaarljike stoffen'!$B$8=I131,'gevaarljike stoffen'!$B$9=I131)</f>
        <v>0</v>
      </c>
      <c r="J130" s="2" t="b">
        <f>OR('gevaarljike stoffen'!$B$4=J131,'gevaarljike stoffen'!$B$5=J131,'gevaarljike stoffen'!$B$6=J131,'gevaarljike stoffen'!$B$7=J131,'gevaarljike stoffen'!$B$8=J131,'gevaarljike stoffen'!$B$9=J131)</f>
        <v>0</v>
      </c>
      <c r="K130" s="2" t="b">
        <f>OR('gevaarljike stoffen'!$B$4=K131,'gevaarljike stoffen'!$B$5=K131,'gevaarljike stoffen'!$B$6=K131,'gevaarljike stoffen'!$B$7=K131,'gevaarljike stoffen'!$B$8=K131,'gevaarljike stoffen'!$B$9=K131)</f>
        <v>0</v>
      </c>
      <c r="L130" s="2" t="b">
        <f>OR('gevaarljike stoffen'!$B$4=L131,'gevaarljike stoffen'!$B$5=L131,'gevaarljike stoffen'!$B$6=L131,'gevaarljike stoffen'!$B$7=L131,'gevaarljike stoffen'!$B$8=L131,'gevaarljike stoffen'!$B$9=L131)</f>
        <v>0</v>
      </c>
      <c r="M130" s="2" t="b">
        <f>OR('gevaarljike stoffen'!$B$4=M131,'gevaarljike stoffen'!$B$5=M131,'gevaarljike stoffen'!$B$6=M131,'gevaarljike stoffen'!$B$7=M131,'gevaarljike stoffen'!$B$8=M131,'gevaarljike stoffen'!$B$9=M131)</f>
        <v>0</v>
      </c>
      <c r="N130" s="2" t="b">
        <f>OR('gevaarljike stoffen'!$B$4=N131,'gevaarljike stoffen'!$B$5=N131,'gevaarljike stoffen'!$B$6=N131,'gevaarljike stoffen'!$B$7=N131,'gevaarljike stoffen'!$B$8=N131,'gevaarljike stoffen'!$B$9=N131)</f>
        <v>0</v>
      </c>
      <c r="O130" s="2" t="b">
        <f>OR('gevaarljike stoffen'!$B$4=O131,'gevaarljike stoffen'!$B$5=O131,'gevaarljike stoffen'!$B$6=O131,'gevaarljike stoffen'!$B$7=O131,'gevaarljike stoffen'!$B$8=O131,'gevaarljike stoffen'!$B$9=O131)</f>
        <v>0</v>
      </c>
      <c r="P130" s="2" t="b">
        <f>OR('gevaarljike stoffen'!$B$4=P131,'gevaarljike stoffen'!$B$5=P131,'gevaarljike stoffen'!$B$6=P131,'gevaarljike stoffen'!$B$7=P131,'gevaarljike stoffen'!$B$8=P131,'gevaarljike stoffen'!$B$9=P131)</f>
        <v>0</v>
      </c>
      <c r="Q130" s="2" t="b">
        <f>OR('gevaarljike stoffen'!$B$4=Q131,'gevaarljike stoffen'!$B$5=Q131,'gevaarljike stoffen'!$B$6=Q131,'gevaarljike stoffen'!$B$7=Q131,'gevaarljike stoffen'!$B$8=Q131,'gevaarljike stoffen'!$B$9=Q131)</f>
        <v>0</v>
      </c>
      <c r="R130" s="2" t="b">
        <f>OR('gevaarljike stoffen'!$B$4=R131,'gevaarljike stoffen'!$B$5=R131,'gevaarljike stoffen'!$B$6=R131,'gevaarljike stoffen'!$B$7=R131,'gevaarljike stoffen'!$B$8=R131,'gevaarljike stoffen'!$B$9=R131)</f>
        <v>0</v>
      </c>
      <c r="S130" s="2" t="b">
        <f>OR('gevaarljike stoffen'!$B$4=S131,'gevaarljike stoffen'!$B$5=S131,'gevaarljike stoffen'!$B$6=S131,'gevaarljike stoffen'!$B$7=S131,'gevaarljike stoffen'!$B$8=S131,'gevaarljike stoffen'!$B$9=S131)</f>
        <v>0</v>
      </c>
      <c r="T130" s="2" t="b">
        <f>OR('gevaarljike stoffen'!$B$4=T131,'gevaarljike stoffen'!$B$5=T131,'gevaarljike stoffen'!$B$6=T131,'gevaarljike stoffen'!$B$7=T131,'gevaarljike stoffen'!$B$8=T131,'gevaarljike stoffen'!$B$9=T131)</f>
        <v>0</v>
      </c>
      <c r="U130" s="2" t="b">
        <f>OR('gevaarljike stoffen'!$B$4=U131,'gevaarljike stoffen'!$B$5=U131,'gevaarljike stoffen'!$B$6=U131,'gevaarljike stoffen'!$B$7=U131,'gevaarljike stoffen'!$B$8=U131,'gevaarljike stoffen'!$B$9=U131)</f>
        <v>0</v>
      </c>
      <c r="V130" s="2" t="b">
        <f>OR('gevaarljike stoffen'!$B$4=V131,'gevaarljike stoffen'!$B$5=V131,'gevaarljike stoffen'!$B$6=V131,'gevaarljike stoffen'!$B$7=V131,'gevaarljike stoffen'!$B$8=V131,'gevaarljike stoffen'!$B$9=V131)</f>
        <v>0</v>
      </c>
      <c r="W130" s="2" t="b">
        <f>OR('gevaarljike stoffen'!$B$4=W131,'gevaarljike stoffen'!$B$5=W131,'gevaarljike stoffen'!$B$6=W131,'gevaarljike stoffen'!$B$7=W131,'gevaarljike stoffen'!$B$8=W131,'gevaarljike stoffen'!$B$9=W131)</f>
        <v>0</v>
      </c>
      <c r="X130" s="2" t="b">
        <f>OR('gevaarljike stoffen'!$B$4=X131,'gevaarljike stoffen'!$B$5=X131,'gevaarljike stoffen'!$B$6=X131,'gevaarljike stoffen'!$B$7=X131,'gevaarljike stoffen'!$B$8=X131,'gevaarljike stoffen'!$B$9=X131)</f>
        <v>0</v>
      </c>
      <c r="Y130" s="2" t="b">
        <f>OR('gevaarljike stoffen'!$B$4=Y131,'gevaarljike stoffen'!$B$5=Y131,'gevaarljike stoffen'!$B$6=Y131,'gevaarljike stoffen'!$B$7=Y131,'gevaarljike stoffen'!$B$8=Y131,'gevaarljike stoffen'!$B$9=Y131)</f>
        <v>0</v>
      </c>
      <c r="Z130" s="2" t="b">
        <f>OR('gevaarljike stoffen'!$B$4=Z131,'gevaarljike stoffen'!$B$5=Z131,'gevaarljike stoffen'!$B$6=Z131,'gevaarljike stoffen'!$B$7=Z131,'gevaarljike stoffen'!$B$8=Z131,'gevaarljike stoffen'!$B$9=Z131)</f>
        <v>0</v>
      </c>
      <c r="AA130" s="2" t="b">
        <f>OR('gevaarljike stoffen'!$B$4=AA131,'gevaarljike stoffen'!$B$5=AA131,'gevaarljike stoffen'!$B$6=AA131,'gevaarljike stoffen'!$B$7=AA131,'gevaarljike stoffen'!$B$8=AA131,'gevaarljike stoffen'!$B$9=AA131)</f>
        <v>0</v>
      </c>
      <c r="AB130" s="2" t="b">
        <f>OR('gevaarljike stoffen'!$B$4=AB131,'gevaarljike stoffen'!$B$5=AB131,'gevaarljike stoffen'!$B$6=AB131,'gevaarljike stoffen'!$B$7=AB131,'gevaarljike stoffen'!$B$8=AB131,'gevaarljike stoffen'!$B$9=AB131)</f>
        <v>0</v>
      </c>
      <c r="AC130" s="2" t="b">
        <f>OR('gevaarljike stoffen'!$B$4=AC131,'gevaarljike stoffen'!$B$5=AC131,'gevaarljike stoffen'!$B$6=AC131,'gevaarljike stoffen'!$B$7=AC131,'gevaarljike stoffen'!$B$8=AC131,'gevaarljike stoffen'!$B$9=AC131)</f>
        <v>0</v>
      </c>
      <c r="AD130" s="2"/>
      <c r="AE130" s="2"/>
    </row>
    <row r="131" spans="1:42" x14ac:dyDescent="0.25">
      <c r="A131" s="144" t="s">
        <v>799</v>
      </c>
      <c r="C131" s="212" t="s">
        <v>111</v>
      </c>
      <c r="D131" s="141" t="s">
        <v>111</v>
      </c>
      <c r="E131" s="141" t="s">
        <v>113</v>
      </c>
      <c r="F131" s="141" t="s">
        <v>114</v>
      </c>
      <c r="G131" s="141" t="s">
        <v>114</v>
      </c>
      <c r="H131" s="141" t="s">
        <v>270</v>
      </c>
      <c r="I131" s="142" t="s">
        <v>271</v>
      </c>
      <c r="J131" s="142" t="s">
        <v>703</v>
      </c>
      <c r="K131" s="142" t="s">
        <v>701</v>
      </c>
      <c r="L131" s="142" t="s">
        <v>704</v>
      </c>
      <c r="M131" s="142" t="s">
        <v>714</v>
      </c>
      <c r="N131" s="142" t="s">
        <v>702</v>
      </c>
      <c r="O131" s="142" t="s">
        <v>271</v>
      </c>
      <c r="P131" s="142" t="s">
        <v>703</v>
      </c>
      <c r="Q131" s="142" t="s">
        <v>701</v>
      </c>
      <c r="R131" s="142" t="s">
        <v>704</v>
      </c>
      <c r="S131" s="142" t="s">
        <v>714</v>
      </c>
      <c r="T131" s="142" t="s">
        <v>702</v>
      </c>
      <c r="U131" s="142" t="s">
        <v>272</v>
      </c>
      <c r="V131" s="142" t="s">
        <v>708</v>
      </c>
      <c r="W131" s="142" t="s">
        <v>706</v>
      </c>
      <c r="X131" s="142" t="s">
        <v>710</v>
      </c>
      <c r="Y131" s="141" t="s">
        <v>273</v>
      </c>
      <c r="Z131" s="141" t="s">
        <v>116</v>
      </c>
      <c r="AA131" s="141" t="s">
        <v>118</v>
      </c>
      <c r="AB131" s="141" t="s">
        <v>120</v>
      </c>
      <c r="AC131" s="141" t="s">
        <v>122</v>
      </c>
      <c r="AD131" s="198"/>
      <c r="AE131" s="198"/>
      <c r="AI131" s="146" t="s">
        <v>827</v>
      </c>
      <c r="AJ131" s="146" t="s">
        <v>577</v>
      </c>
      <c r="AK131" s="120" t="s">
        <v>564</v>
      </c>
    </row>
    <row r="132" spans="1:42" x14ac:dyDescent="0.25">
      <c r="A132" s="6"/>
      <c r="AI132" s="4" t="s">
        <v>825</v>
      </c>
      <c r="AJ132" s="2"/>
      <c r="AK132" s="5" t="str">
        <f>IF(OR('gevaarljike stoffen'!Q17="no",'gevaarljike stoffen'!Q17=0),"verp99","dop")</f>
        <v>verp99</v>
      </c>
      <c r="AL132" s="3">
        <f ca="1">OFFSET($AJ$131,MATCH(AK132,verpakking,0),0,1,1)</f>
        <v>0</v>
      </c>
    </row>
    <row r="133" spans="1:42" x14ac:dyDescent="0.25">
      <c r="A133" s="6" t="s">
        <v>800</v>
      </c>
      <c r="B133" s="2" t="str">
        <f>'gevaarljike stoffen'!M11</f>
        <v xml:space="preserve">Oral </v>
      </c>
      <c r="AI133" s="4" t="s">
        <v>826</v>
      </c>
      <c r="AJ133" s="2"/>
      <c r="AK133" s="5" t="str">
        <f>IF(OR('gevaarljike stoffen'!R17="no",'gevaarljike stoffen'!R17=0),"verp99","tactile")</f>
        <v>verp99</v>
      </c>
      <c r="AL133" s="3">
        <f ca="1">OFFSET($AJ$131,MATCH(AK133,verpakking,0),0,1,1)</f>
        <v>0</v>
      </c>
    </row>
    <row r="134" spans="1:42" x14ac:dyDescent="0.25">
      <c r="A134" s="6" t="s">
        <v>801</v>
      </c>
      <c r="AI134" s="4" t="s">
        <v>828</v>
      </c>
      <c r="AJ134" s="2"/>
      <c r="AK134" s="5"/>
    </row>
    <row r="135" spans="1:42" x14ac:dyDescent="0.25">
      <c r="A135" s="6" t="s">
        <v>802</v>
      </c>
    </row>
    <row r="137" spans="1:42" x14ac:dyDescent="0.25">
      <c r="A137" s="144" t="s">
        <v>795</v>
      </c>
      <c r="C137" s="196" t="s">
        <v>2238</v>
      </c>
    </row>
    <row r="138" spans="1:42" x14ac:dyDescent="0.25">
      <c r="B138" s="2" t="str">
        <f>'gevaarljike stoffen'!A11</f>
        <v xml:space="preserve">	Fluid Liquid	</v>
      </c>
      <c r="C138" s="195" t="b">
        <f>OR(B138='Physical state'!B10,'gevaarljike stoffen'!M14="yes")</f>
        <v>1</v>
      </c>
    </row>
    <row r="141" spans="1:42" x14ac:dyDescent="0.25">
      <c r="C141" s="195" t="b">
        <f>OR(C142,D142,E142,F142,G142,H142,I142,J142,K142,L142,M142,N142,O142,P142,Q142,R142,S142,T142,U142,V142,W142,X142,Y142,Z142,AA142,AB142,AC142,AD142,AE142,AF142,AG142,AH142,AI142,,AJ142,AK142,AL142,AM142,AN142,AO142,AP142)</f>
        <v>0</v>
      </c>
      <c r="E141" s="129"/>
    </row>
    <row r="142" spans="1:42" x14ac:dyDescent="0.25">
      <c r="C142" s="195" t="b">
        <f>OR('gevaarljike stoffen'!$B$4=C143,'gevaarljike stoffen'!$B$5=C143,'gevaarljike stoffen'!$B$6=C143,'gevaarljike stoffen'!$B$7=C143,'gevaarljike stoffen'!$B$8=C143,'gevaarljike stoffen'!$B$9=C143)</f>
        <v>0</v>
      </c>
      <c r="D142" s="2" t="b">
        <f>OR('gevaarljike stoffen'!$B$4=D143,'gevaarljike stoffen'!$B$5=D143,'gevaarljike stoffen'!$B$6=D143,'gevaarljike stoffen'!$B$7=D143,'gevaarljike stoffen'!$B$8=D143,'gevaarljike stoffen'!$B$9=D143)</f>
        <v>0</v>
      </c>
      <c r="E142" s="2" t="b">
        <f>OR('gevaarljike stoffen'!$B$4=E143,'gevaarljike stoffen'!$B$5=E143,'gevaarljike stoffen'!$B$6=E143,'gevaarljike stoffen'!$B$7=E143,'gevaarljike stoffen'!$B$8=E143,'gevaarljike stoffen'!$B$9=E143)</f>
        <v>0</v>
      </c>
      <c r="F142" s="2" t="b">
        <f>OR('gevaarljike stoffen'!$B$4=F143,'gevaarljike stoffen'!$B$5=F143,'gevaarljike stoffen'!$B$6=F143,'gevaarljike stoffen'!$B$7=F143,'gevaarljike stoffen'!$B$8=F143,'gevaarljike stoffen'!$B$9=F143)</f>
        <v>0</v>
      </c>
      <c r="G142" s="2" t="b">
        <f>OR('gevaarljike stoffen'!$B$4=G143,'gevaarljike stoffen'!$B$5=G143,'gevaarljike stoffen'!$B$6=G143,'gevaarljike stoffen'!$B$7=G143,'gevaarljike stoffen'!$B$8=G143,'gevaarljike stoffen'!$B$9=G143)</f>
        <v>0</v>
      </c>
      <c r="H142" s="2" t="b">
        <f>OR('gevaarljike stoffen'!$B$4=H143,'gevaarljike stoffen'!$B$5=H143,'gevaarljike stoffen'!$B$6=H143,'gevaarljike stoffen'!$B$7=H143,'gevaarljike stoffen'!$B$8=H143,'gevaarljike stoffen'!$B$9=H143)</f>
        <v>0</v>
      </c>
      <c r="I142" s="2" t="b">
        <f>OR('gevaarljike stoffen'!$B$4=I143,'gevaarljike stoffen'!$B$5=I143,'gevaarljike stoffen'!$B$6=I143,'gevaarljike stoffen'!$B$7=I143,'gevaarljike stoffen'!$B$8=I143,'gevaarljike stoffen'!$B$9=I143)</f>
        <v>0</v>
      </c>
      <c r="J142" s="2" t="b">
        <f>OR('gevaarljike stoffen'!$B$4=J143,'gevaarljike stoffen'!$B$5=J143,'gevaarljike stoffen'!$B$6=J143,'gevaarljike stoffen'!$B$7=J143,'gevaarljike stoffen'!$B$8=J143,'gevaarljike stoffen'!$B$9=J143)</f>
        <v>0</v>
      </c>
      <c r="K142" s="2" t="b">
        <f>OR('gevaarljike stoffen'!$B$4=K143,'gevaarljike stoffen'!$B$5=K143,'gevaarljike stoffen'!$B$6=K143,'gevaarljike stoffen'!$B$7=K143,'gevaarljike stoffen'!$B$8=K143,'gevaarljike stoffen'!$B$9=K143)</f>
        <v>0</v>
      </c>
      <c r="L142" s="2" t="b">
        <f>OR('gevaarljike stoffen'!$B$4=L143,'gevaarljike stoffen'!$B$5=L143,'gevaarljike stoffen'!$B$6=L143,'gevaarljike stoffen'!$B$7=L143,'gevaarljike stoffen'!$B$8=L143,'gevaarljike stoffen'!$B$9=L143)</f>
        <v>0</v>
      </c>
      <c r="M142" s="2" t="b">
        <f>OR('gevaarljike stoffen'!$B$4=M143,'gevaarljike stoffen'!$B$5=M143,'gevaarljike stoffen'!$B$6=M143,'gevaarljike stoffen'!$B$7=M143,'gevaarljike stoffen'!$B$8=M143,'gevaarljike stoffen'!$B$9=M143)</f>
        <v>0</v>
      </c>
      <c r="N142" s="2" t="b">
        <f>OR('gevaarljike stoffen'!$B$4=N143,'gevaarljike stoffen'!$B$5=N143,'gevaarljike stoffen'!$B$6=N143,'gevaarljike stoffen'!$B$7=N143,'gevaarljike stoffen'!$B$8=N143,'gevaarljike stoffen'!$B$9=N143)</f>
        <v>0</v>
      </c>
      <c r="O142" s="2" t="b">
        <f>OR('gevaarljike stoffen'!$B$4=O143,'gevaarljike stoffen'!$B$5=O143,'gevaarljike stoffen'!$B$6=O143,'gevaarljike stoffen'!$B$7=O143,'gevaarljike stoffen'!$B$8=O143,'gevaarljike stoffen'!$B$9=O143)</f>
        <v>0</v>
      </c>
      <c r="P142" s="2" t="b">
        <f>OR('gevaarljike stoffen'!$B$4=P143,'gevaarljike stoffen'!$B$5=P143,'gevaarljike stoffen'!$B$6=P143,'gevaarljike stoffen'!$B$7=P143,'gevaarljike stoffen'!$B$8=P143,'gevaarljike stoffen'!$B$9=P143)</f>
        <v>0</v>
      </c>
      <c r="Q142" s="2" t="b">
        <f>OR('gevaarljike stoffen'!$B$4=Q143,'gevaarljike stoffen'!$B$5=Q143,'gevaarljike stoffen'!$B$6=Q143,'gevaarljike stoffen'!$B$7=Q143,'gevaarljike stoffen'!$B$8=Q143,'gevaarljike stoffen'!$B$9=Q143)</f>
        <v>0</v>
      </c>
      <c r="R142" s="2" t="b">
        <f>OR('gevaarljike stoffen'!$B$4=R143,'gevaarljike stoffen'!$B$5=R143,'gevaarljike stoffen'!$B$6=R143,'gevaarljike stoffen'!$B$7=R143,'gevaarljike stoffen'!$B$8=R143,'gevaarljike stoffen'!$B$9=R143)</f>
        <v>0</v>
      </c>
      <c r="S142" s="2" t="b">
        <f>OR('gevaarljike stoffen'!$B$4=S143,'gevaarljike stoffen'!$B$5=S143,'gevaarljike stoffen'!$B$6=S143,'gevaarljike stoffen'!$B$7=S143,'gevaarljike stoffen'!$B$8=S143,'gevaarljike stoffen'!$B$9=S143)</f>
        <v>0</v>
      </c>
      <c r="T142" s="2" t="b">
        <f>OR('gevaarljike stoffen'!$B$4=T143,'gevaarljike stoffen'!$B$5=T143,'gevaarljike stoffen'!$B$6=T143,'gevaarljike stoffen'!$B$7=T143,'gevaarljike stoffen'!$B$8=T143,'gevaarljike stoffen'!$B$9=T143)</f>
        <v>0</v>
      </c>
      <c r="U142" s="2" t="b">
        <f>OR('gevaarljike stoffen'!$B$4=U143,'gevaarljike stoffen'!$B$5=U143,'gevaarljike stoffen'!$B$6=U143,'gevaarljike stoffen'!$B$7=U143,'gevaarljike stoffen'!$B$8=U143,'gevaarljike stoffen'!$B$9=U143)</f>
        <v>0</v>
      </c>
      <c r="V142" s="2" t="b">
        <f>OR('gevaarljike stoffen'!$B$4=V143,'gevaarljike stoffen'!$B$5=V143,'gevaarljike stoffen'!$B$6=V143,'gevaarljike stoffen'!$B$7=V143,'gevaarljike stoffen'!$B$8=V143,'gevaarljike stoffen'!$B$9=V143)</f>
        <v>0</v>
      </c>
      <c r="W142" s="2" t="b">
        <f>OR('gevaarljike stoffen'!$B$4=W143,'gevaarljike stoffen'!$B$5=W143,'gevaarljike stoffen'!$B$6=W143,'gevaarljike stoffen'!$B$7=W143,'gevaarljike stoffen'!$B$8=W143,'gevaarljike stoffen'!$B$9=W143)</f>
        <v>0</v>
      </c>
      <c r="X142" s="2" t="b">
        <f>OR('gevaarljike stoffen'!$B$4=X143,'gevaarljike stoffen'!$B$5=X143,'gevaarljike stoffen'!$B$6=X143,'gevaarljike stoffen'!$B$7=X143,'gevaarljike stoffen'!$B$8=X143,'gevaarljike stoffen'!$B$9=X143)</f>
        <v>0</v>
      </c>
      <c r="Y142" s="2" t="b">
        <f>OR('gevaarljike stoffen'!$B$4=Y143,'gevaarljike stoffen'!$B$5=Y143,'gevaarljike stoffen'!$B$6=Y143,'gevaarljike stoffen'!$B$7=Y143,'gevaarljike stoffen'!$B$8=Y143,'gevaarljike stoffen'!$B$9=Y143)</f>
        <v>0</v>
      </c>
      <c r="Z142" s="2" t="b">
        <f>OR('gevaarljike stoffen'!$B$4=Z143,'gevaarljike stoffen'!$B$5=Z143,'gevaarljike stoffen'!$B$6=Z143,'gevaarljike stoffen'!$B$7=Z143,'gevaarljike stoffen'!$B$8=Z143,'gevaarljike stoffen'!$B$9=Z143)</f>
        <v>0</v>
      </c>
      <c r="AA142" s="2" t="b">
        <f>OR('gevaarljike stoffen'!$B$4=AA143,'gevaarljike stoffen'!$B$5=AA143,'gevaarljike stoffen'!$B$6=AA143,'gevaarljike stoffen'!$B$7=AA143,'gevaarljike stoffen'!$B$8=AA143,'gevaarljike stoffen'!$B$9=AA143)</f>
        <v>0</v>
      </c>
      <c r="AB142" s="2" t="b">
        <f>OR('gevaarljike stoffen'!$B$4=AB143,'gevaarljike stoffen'!$B$5=AB143,'gevaarljike stoffen'!$B$6=AB143,'gevaarljike stoffen'!$B$7=AB143,'gevaarljike stoffen'!$B$8=AB143,'gevaarljike stoffen'!$B$9=AB143)</f>
        <v>0</v>
      </c>
      <c r="AC142" s="2" t="b">
        <f>OR('gevaarljike stoffen'!$B$4=AC143,'gevaarljike stoffen'!$B$5=AC143,'gevaarljike stoffen'!$B$6=AC143,'gevaarljike stoffen'!$B$7=AC143,'gevaarljike stoffen'!$B$8=AC143,'gevaarljike stoffen'!$B$9=AC143)</f>
        <v>0</v>
      </c>
      <c r="AD142" s="2" t="b">
        <f>OR('gevaarljike stoffen'!$B$4=AD143,'gevaarljike stoffen'!$B$5=AD143,'gevaarljike stoffen'!$B$6=AD143,'gevaarljike stoffen'!$B$7=AD143,'gevaarljike stoffen'!$B$8=AD143,'gevaarljike stoffen'!$B$9=AD143)</f>
        <v>0</v>
      </c>
      <c r="AE142" s="2" t="b">
        <f>OR('gevaarljike stoffen'!$B$4=AE143,'gevaarljike stoffen'!$B$5=AE143,'gevaarljike stoffen'!$B$6=AE143,'gevaarljike stoffen'!$B$7=AE143,'gevaarljike stoffen'!$B$8=AE143,'gevaarljike stoffen'!$B$9=AE143)</f>
        <v>0</v>
      </c>
      <c r="AF142" s="2" t="b">
        <f>OR('gevaarljike stoffen'!$B$4=AF143,'gevaarljike stoffen'!$B$5=AF143,'gevaarljike stoffen'!$B$6=AF143,'gevaarljike stoffen'!$B$7=AF143,'gevaarljike stoffen'!$B$8=AF143,'gevaarljike stoffen'!$B$9=AF143)</f>
        <v>0</v>
      </c>
      <c r="AG142" s="2" t="b">
        <f>OR('gevaarljike stoffen'!$B$4=AG143,'gevaarljike stoffen'!$B$5=AG143,'gevaarljike stoffen'!$B$6=AG143,'gevaarljike stoffen'!$B$7=AG143,'gevaarljike stoffen'!$B$8=AG143,'gevaarljike stoffen'!$B$9=AG143)</f>
        <v>0</v>
      </c>
      <c r="AH142" s="2" t="b">
        <f>OR('gevaarljike stoffen'!$B$4=AH143,'gevaarljike stoffen'!$B$5=AH143,'gevaarljike stoffen'!$B$6=AH143,'gevaarljike stoffen'!$B$7=AH143,'gevaarljike stoffen'!$B$8=AH143,'gevaarljike stoffen'!$B$9=AH143)</f>
        <v>0</v>
      </c>
      <c r="AI142" s="2" t="b">
        <f>OR('gevaarljike stoffen'!$B$4=AI143,'gevaarljike stoffen'!$B$5=AI143,'gevaarljike stoffen'!$B$6=AI143,'gevaarljike stoffen'!$B$7=AI143,'gevaarljike stoffen'!$B$8=AI143,'gevaarljike stoffen'!$B$9=AI143)</f>
        <v>0</v>
      </c>
      <c r="AJ142" s="2" t="b">
        <f>OR('gevaarljike stoffen'!$B$4=AJ143,'gevaarljike stoffen'!$B$5=AJ143,'gevaarljike stoffen'!$B$6=AJ143,'gevaarljike stoffen'!$B$7=AJ143,'gevaarljike stoffen'!$B$8=AJ143,'gevaarljike stoffen'!$B$9=AJ143)</f>
        <v>0</v>
      </c>
      <c r="AK142" s="2" t="b">
        <f>OR('gevaarljike stoffen'!$B$4=AK143,'gevaarljike stoffen'!$B$5=AK143,'gevaarljike stoffen'!$B$6=AK143,'gevaarljike stoffen'!$B$7=AK143,'gevaarljike stoffen'!$B$8=AK143,'gevaarljike stoffen'!$B$9=AK143)</f>
        <v>0</v>
      </c>
      <c r="AL142" s="2" t="b">
        <f>OR('gevaarljike stoffen'!$B$4=AL143,'gevaarljike stoffen'!$B$5=AL143,'gevaarljike stoffen'!$B$6=AL143,'gevaarljike stoffen'!$B$7=AL143,'gevaarljike stoffen'!$B$8=AL143,'gevaarljike stoffen'!$B$9=AL143)</f>
        <v>0</v>
      </c>
      <c r="AM142" s="2" t="b">
        <f>OR('gevaarljike stoffen'!$B$4=AM143,'gevaarljike stoffen'!$B$5=AM143,'gevaarljike stoffen'!$B$6=AM143,'gevaarljike stoffen'!$B$7=AM143,'gevaarljike stoffen'!$B$8=AM143,'gevaarljike stoffen'!$B$9=AM143)</f>
        <v>0</v>
      </c>
      <c r="AN142" s="2" t="b">
        <f>OR('gevaarljike stoffen'!$B$4=AN143,'gevaarljike stoffen'!$B$5=AN143,'gevaarljike stoffen'!$B$6=AN143,'gevaarljike stoffen'!$B$7=AN143,'gevaarljike stoffen'!$B$8=AN143,'gevaarljike stoffen'!$B$9=AN143)</f>
        <v>0</v>
      </c>
      <c r="AO142" s="2" t="b">
        <f>OR('gevaarljike stoffen'!$B$4=AO143,'gevaarljike stoffen'!$B$5=AO143,'gevaarljike stoffen'!$B$6=AO143,'gevaarljike stoffen'!$B$7=AO143,'gevaarljike stoffen'!$B$8=AO143,'gevaarljike stoffen'!$B$9=AO143)</f>
        <v>0</v>
      </c>
      <c r="AP142" s="2" t="b">
        <f>OR('gevaarljike stoffen'!$B$4=AP143,'gevaarljike stoffen'!$B$5=AP143,'gevaarljike stoffen'!$B$6=AP143,'gevaarljike stoffen'!$B$7=AP143,'gevaarljike stoffen'!$B$8=AP143,'gevaarljike stoffen'!$B$9=AP143)</f>
        <v>0</v>
      </c>
    </row>
    <row r="143" spans="1:42" x14ac:dyDescent="0.25">
      <c r="C143" s="212" t="s">
        <v>111</v>
      </c>
      <c r="D143" s="141" t="s">
        <v>111</v>
      </c>
      <c r="E143" s="141" t="s">
        <v>113</v>
      </c>
      <c r="F143" s="141" t="s">
        <v>114</v>
      </c>
      <c r="G143" s="141" t="s">
        <v>114</v>
      </c>
      <c r="H143" s="141" t="s">
        <v>270</v>
      </c>
      <c r="I143" s="142" t="s">
        <v>271</v>
      </c>
      <c r="J143" s="142" t="s">
        <v>703</v>
      </c>
      <c r="K143" s="142" t="s">
        <v>701</v>
      </c>
      <c r="L143" s="142" t="s">
        <v>704</v>
      </c>
      <c r="M143" s="142" t="s">
        <v>714</v>
      </c>
      <c r="N143" s="142" t="s">
        <v>702</v>
      </c>
      <c r="O143" s="142" t="s">
        <v>271</v>
      </c>
      <c r="P143" s="142" t="s">
        <v>703</v>
      </c>
      <c r="Q143" s="142" t="s">
        <v>701</v>
      </c>
      <c r="R143" s="142" t="s">
        <v>704</v>
      </c>
      <c r="S143" s="142" t="s">
        <v>714</v>
      </c>
      <c r="T143" s="142" t="s">
        <v>702</v>
      </c>
      <c r="U143" s="142" t="s">
        <v>272</v>
      </c>
      <c r="V143" s="142" t="s">
        <v>708</v>
      </c>
      <c r="W143" s="142" t="s">
        <v>706</v>
      </c>
      <c r="X143" s="142" t="s">
        <v>710</v>
      </c>
      <c r="Y143" s="141" t="s">
        <v>273</v>
      </c>
      <c r="Z143" s="141" t="s">
        <v>116</v>
      </c>
      <c r="AA143" s="141" t="s">
        <v>118</v>
      </c>
      <c r="AB143" s="141" t="s">
        <v>120</v>
      </c>
      <c r="AC143" s="141" t="s">
        <v>122</v>
      </c>
      <c r="AD143" s="204" t="s">
        <v>33</v>
      </c>
      <c r="AE143" s="204" t="s">
        <v>34</v>
      </c>
      <c r="AF143" s="204" t="s">
        <v>266</v>
      </c>
      <c r="AG143" s="204" t="s">
        <v>267</v>
      </c>
      <c r="AH143" s="204" t="s">
        <v>268</v>
      </c>
      <c r="AI143" s="204" t="s">
        <v>98</v>
      </c>
      <c r="AJ143" s="120" t="s">
        <v>106</v>
      </c>
      <c r="AK143" s="120" t="s">
        <v>269</v>
      </c>
      <c r="AL143" s="6" t="s">
        <v>274</v>
      </c>
      <c r="AM143" s="205" t="s">
        <v>275</v>
      </c>
      <c r="AN143" s="279" t="s">
        <v>123</v>
      </c>
      <c r="AO143" s="279" t="s">
        <v>607</v>
      </c>
      <c r="AP143" s="279" t="s">
        <v>613</v>
      </c>
    </row>
    <row r="146" spans="3:3" x14ac:dyDescent="0.25">
      <c r="C146" s="196" t="s">
        <v>2237</v>
      </c>
    </row>
    <row r="147" spans="3:3" x14ac:dyDescent="0.25">
      <c r="C147" s="195" t="b">
        <f>OR(B138='Physical state'!B10,AND(B138= 'Physical state'!B4,'gevaarljike stoffen'!M14="yes"))</f>
        <v>1</v>
      </c>
    </row>
    <row r="148" spans="3:3" x14ac:dyDescent="0.25">
      <c r="C148" s="196" t="s">
        <v>2239</v>
      </c>
    </row>
    <row r="149" spans="3:3" x14ac:dyDescent="0.25">
      <c r="C149" s="195" t="b">
        <f>AND(B138='Physical state'!B8,'gevaarljike stoffen'!M14="yes")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DW54"/>
  <sheetViews>
    <sheetView topLeftCell="BP1" zoomScale="110" zoomScaleNormal="110" workbookViewId="0">
      <selection activeCell="BT13" sqref="BT13"/>
    </sheetView>
  </sheetViews>
  <sheetFormatPr defaultRowHeight="15" x14ac:dyDescent="0.25"/>
  <cols>
    <col min="1" max="79" width="22.7109375" customWidth="1"/>
    <col min="80" max="80" width="6.7109375" style="217" customWidth="1"/>
    <col min="81" max="100" width="22.7109375" customWidth="1"/>
  </cols>
  <sheetData>
    <row r="1" spans="1:127" x14ac:dyDescent="0.25">
      <c r="A1" s="186" t="s">
        <v>134</v>
      </c>
      <c r="B1" s="186" t="s">
        <v>135</v>
      </c>
      <c r="C1" s="186" t="s">
        <v>136</v>
      </c>
      <c r="D1" s="186" t="s">
        <v>137</v>
      </c>
      <c r="E1" s="186" t="s">
        <v>138</v>
      </c>
      <c r="F1" s="186" t="s">
        <v>139</v>
      </c>
      <c r="G1" s="186" t="s">
        <v>140</v>
      </c>
      <c r="H1" s="186" t="s">
        <v>142</v>
      </c>
      <c r="I1" s="186" t="s">
        <v>145</v>
      </c>
      <c r="J1" s="186" t="s">
        <v>151</v>
      </c>
      <c r="K1" s="186" t="s">
        <v>158</v>
      </c>
      <c r="L1" s="186" t="s">
        <v>159</v>
      </c>
      <c r="M1" s="186" t="s">
        <v>160</v>
      </c>
      <c r="N1" s="186" t="s">
        <v>161</v>
      </c>
      <c r="O1" s="186" t="s">
        <v>162</v>
      </c>
      <c r="P1" s="186" t="s">
        <v>164</v>
      </c>
      <c r="Q1" s="186" t="s">
        <v>166</v>
      </c>
      <c r="R1" s="186" t="s">
        <v>168</v>
      </c>
      <c r="S1" s="186" t="s">
        <v>171</v>
      </c>
      <c r="T1" s="186" t="s">
        <v>172</v>
      </c>
      <c r="U1" s="186" t="s">
        <v>173</v>
      </c>
      <c r="V1" s="186" t="s">
        <v>183</v>
      </c>
      <c r="W1" s="186" t="s">
        <v>184</v>
      </c>
      <c r="X1" s="186" t="s">
        <v>185</v>
      </c>
      <c r="Y1" s="186" t="s">
        <v>186</v>
      </c>
      <c r="Z1" s="186" t="s">
        <v>187</v>
      </c>
      <c r="AA1" s="186" t="s">
        <v>254</v>
      </c>
      <c r="AB1" s="186" t="s">
        <v>256</v>
      </c>
      <c r="AC1" s="186" t="s">
        <v>257</v>
      </c>
      <c r="AD1" s="186" t="s">
        <v>255</v>
      </c>
      <c r="AE1" s="186" t="s">
        <v>258</v>
      </c>
      <c r="AF1" s="186" t="s">
        <v>259</v>
      </c>
      <c r="AG1" s="186" t="s">
        <v>262</v>
      </c>
      <c r="AH1" s="186" t="s">
        <v>201</v>
      </c>
      <c r="AI1" s="186" t="s">
        <v>201</v>
      </c>
      <c r="AJ1" s="186" t="s">
        <v>204</v>
      </c>
      <c r="AK1" s="186" t="s">
        <v>205</v>
      </c>
      <c r="AL1" s="186" t="s">
        <v>206</v>
      </c>
      <c r="AM1" s="186" t="s">
        <v>208</v>
      </c>
      <c r="AN1" s="186" t="s">
        <v>209</v>
      </c>
      <c r="AO1" s="186" t="s">
        <v>210</v>
      </c>
      <c r="AP1" s="186" t="s">
        <v>212</v>
      </c>
      <c r="AQ1" s="186" t="s">
        <v>212</v>
      </c>
      <c r="AR1" s="186" t="s">
        <v>212</v>
      </c>
      <c r="AS1" s="186" t="s">
        <v>212</v>
      </c>
      <c r="AT1" s="186" t="s">
        <v>212</v>
      </c>
      <c r="AU1" s="186" t="s">
        <v>212</v>
      </c>
      <c r="AV1" s="186" t="s">
        <v>213</v>
      </c>
      <c r="AW1" s="186" t="s">
        <v>213</v>
      </c>
      <c r="AX1" s="186" t="s">
        <v>213</v>
      </c>
      <c r="AY1" s="186" t="s">
        <v>213</v>
      </c>
      <c r="AZ1" s="186" t="s">
        <v>213</v>
      </c>
      <c r="BA1" s="186" t="s">
        <v>213</v>
      </c>
      <c r="BB1" s="186" t="s">
        <v>214</v>
      </c>
      <c r="BC1" s="186" t="s">
        <v>214</v>
      </c>
      <c r="BD1" s="186" t="s">
        <v>214</v>
      </c>
      <c r="BE1" s="186" t="s">
        <v>214</v>
      </c>
      <c r="BF1" s="186" t="s">
        <v>217</v>
      </c>
      <c r="BG1" s="186" t="s">
        <v>218</v>
      </c>
      <c r="BH1" s="186" t="s">
        <v>221</v>
      </c>
      <c r="BI1" s="186" t="s">
        <v>222</v>
      </c>
      <c r="BJ1" s="186" t="s">
        <v>224</v>
      </c>
      <c r="BK1" s="186" t="s">
        <v>233</v>
      </c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C1" s="186" t="s">
        <v>143</v>
      </c>
      <c r="CD1" s="186" t="s">
        <v>146</v>
      </c>
      <c r="CE1" s="186" t="s">
        <v>152</v>
      </c>
      <c r="CF1" s="186" t="s">
        <v>153</v>
      </c>
      <c r="CG1" s="186" t="s">
        <v>155</v>
      </c>
      <c r="CH1" s="186" t="s">
        <v>156</v>
      </c>
      <c r="CI1" s="186" t="s">
        <v>175</v>
      </c>
      <c r="CJ1" s="186" t="s">
        <v>176</v>
      </c>
      <c r="CK1" s="186" t="s">
        <v>177</v>
      </c>
      <c r="CL1" s="186" t="s">
        <v>179</v>
      </c>
      <c r="CM1" s="186" t="s">
        <v>180</v>
      </c>
      <c r="CN1" s="186" t="s">
        <v>181</v>
      </c>
      <c r="CO1" s="186" t="s">
        <v>260</v>
      </c>
      <c r="CP1" s="186" t="s">
        <v>261</v>
      </c>
      <c r="CQ1" s="186" t="s">
        <v>193</v>
      </c>
      <c r="CR1" s="186" t="s">
        <v>194</v>
      </c>
      <c r="CS1" s="186" t="s">
        <v>195</v>
      </c>
      <c r="CT1" s="186" t="s">
        <v>202</v>
      </c>
      <c r="CU1" s="186" t="s">
        <v>227</v>
      </c>
      <c r="CV1" s="186" t="s">
        <v>228</v>
      </c>
      <c r="CW1" s="83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29"/>
    </row>
    <row r="2" spans="1:127" x14ac:dyDescent="0.25">
      <c r="A2" s="186" t="s">
        <v>239</v>
      </c>
      <c r="B2" s="186" t="s">
        <v>239</v>
      </c>
      <c r="C2" s="186" t="s">
        <v>239</v>
      </c>
      <c r="D2" s="186" t="s">
        <v>239</v>
      </c>
      <c r="E2" s="186" t="s">
        <v>244</v>
      </c>
      <c r="F2" s="186" t="s">
        <v>239</v>
      </c>
      <c r="G2" s="186" t="s">
        <v>277</v>
      </c>
      <c r="H2" s="186" t="s">
        <v>239</v>
      </c>
      <c r="I2" s="186" t="s">
        <v>239</v>
      </c>
      <c r="J2" s="186" t="s">
        <v>239</v>
      </c>
      <c r="K2" s="186" t="s">
        <v>239</v>
      </c>
      <c r="L2" s="186" t="s">
        <v>239</v>
      </c>
      <c r="M2" s="186" t="s">
        <v>239</v>
      </c>
      <c r="N2" s="186" t="s">
        <v>244</v>
      </c>
      <c r="O2" s="186" t="s">
        <v>277</v>
      </c>
      <c r="P2" s="186" t="s">
        <v>239</v>
      </c>
      <c r="Q2" s="186" t="s">
        <v>239</v>
      </c>
      <c r="R2" s="186" t="s">
        <v>239</v>
      </c>
      <c r="S2" s="186" t="s">
        <v>239</v>
      </c>
      <c r="T2" s="186" t="s">
        <v>239</v>
      </c>
      <c r="U2" s="186" t="s">
        <v>244</v>
      </c>
      <c r="V2" s="186" t="s">
        <v>239</v>
      </c>
      <c r="W2" s="186" t="s">
        <v>239</v>
      </c>
      <c r="X2" s="186" t="s">
        <v>239</v>
      </c>
      <c r="Y2" s="186" t="s">
        <v>244</v>
      </c>
      <c r="Z2" s="186" t="s">
        <v>277</v>
      </c>
      <c r="AA2" s="186" t="s">
        <v>239</v>
      </c>
      <c r="AB2" s="186" t="s">
        <v>239</v>
      </c>
      <c r="AC2" s="186" t="s">
        <v>239</v>
      </c>
      <c r="AD2" s="186" t="s">
        <v>239</v>
      </c>
      <c r="AE2" s="186" t="s">
        <v>239</v>
      </c>
      <c r="AF2" s="186" t="s">
        <v>239</v>
      </c>
      <c r="AG2" s="186" t="s">
        <v>239</v>
      </c>
      <c r="AH2" s="186" t="s">
        <v>239</v>
      </c>
      <c r="AI2" s="186" t="s">
        <v>239</v>
      </c>
      <c r="AJ2" s="186" t="s">
        <v>239</v>
      </c>
      <c r="AK2" s="186" t="s">
        <v>239</v>
      </c>
      <c r="AL2" s="186" t="s">
        <v>244</v>
      </c>
      <c r="AM2" s="186" t="s">
        <v>239</v>
      </c>
      <c r="AN2" s="186" t="s">
        <v>239</v>
      </c>
      <c r="AO2" s="186" t="s">
        <v>244</v>
      </c>
      <c r="AP2" s="186" t="s">
        <v>239</v>
      </c>
      <c r="AQ2" s="186" t="s">
        <v>239</v>
      </c>
      <c r="AR2" s="186" t="s">
        <v>239</v>
      </c>
      <c r="AS2" s="186" t="s">
        <v>239</v>
      </c>
      <c r="AT2" s="186" t="s">
        <v>239</v>
      </c>
      <c r="AU2" s="186" t="s">
        <v>239</v>
      </c>
      <c r="AV2" s="186" t="s">
        <v>239</v>
      </c>
      <c r="AW2" s="186" t="s">
        <v>239</v>
      </c>
      <c r="AX2" s="186" t="s">
        <v>239</v>
      </c>
      <c r="AY2" s="186" t="s">
        <v>239</v>
      </c>
      <c r="AZ2" s="186" t="s">
        <v>239</v>
      </c>
      <c r="BA2" s="186" t="s">
        <v>239</v>
      </c>
      <c r="BB2" s="186" t="s">
        <v>244</v>
      </c>
      <c r="BC2" s="186" t="s">
        <v>244</v>
      </c>
      <c r="BD2" s="186" t="s">
        <v>244</v>
      </c>
      <c r="BE2" s="186" t="s">
        <v>244</v>
      </c>
      <c r="BF2" s="186" t="s">
        <v>239</v>
      </c>
      <c r="BG2" s="186" t="s">
        <v>244</v>
      </c>
      <c r="BH2" s="186" t="s">
        <v>239</v>
      </c>
      <c r="BI2" s="186" t="s">
        <v>244</v>
      </c>
      <c r="BJ2" s="186" t="s">
        <v>239</v>
      </c>
      <c r="BK2" s="186" t="s">
        <v>244</v>
      </c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C2" s="186" t="s">
        <v>244</v>
      </c>
      <c r="CD2" s="186" t="s">
        <v>244</v>
      </c>
      <c r="CE2" s="186" t="s">
        <v>239</v>
      </c>
      <c r="CF2" s="186" t="s">
        <v>244</v>
      </c>
      <c r="CG2" s="186" t="s">
        <v>239</v>
      </c>
      <c r="CH2" s="186" t="s">
        <v>244</v>
      </c>
      <c r="CI2" s="186" t="s">
        <v>239</v>
      </c>
      <c r="CJ2" s="186" t="s">
        <v>239</v>
      </c>
      <c r="CK2" s="186" t="s">
        <v>244</v>
      </c>
      <c r="CL2" s="186" t="s">
        <v>239</v>
      </c>
      <c r="CM2" s="186" t="s">
        <v>239</v>
      </c>
      <c r="CN2" s="186" t="s">
        <v>244</v>
      </c>
      <c r="CO2" s="186" t="s">
        <v>239</v>
      </c>
      <c r="CP2" s="186" t="s">
        <v>239</v>
      </c>
      <c r="CQ2" s="186" t="s">
        <v>239</v>
      </c>
      <c r="CR2" s="186" t="s">
        <v>239</v>
      </c>
      <c r="CS2" s="186" t="s">
        <v>239</v>
      </c>
      <c r="CT2" s="186" t="s">
        <v>244</v>
      </c>
      <c r="CU2" s="186" t="s">
        <v>244</v>
      </c>
      <c r="CV2" s="186" t="s">
        <v>244</v>
      </c>
      <c r="CW2" s="83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9"/>
      <c r="DQ2" s="199"/>
      <c r="DR2" s="199"/>
      <c r="DS2" s="199"/>
      <c r="DT2" s="199"/>
      <c r="DU2" s="199"/>
      <c r="DV2" s="199"/>
      <c r="DW2" s="2"/>
    </row>
    <row r="3" spans="1:127" s="181" customFormat="1" x14ac:dyDescent="0.25">
      <c r="A3" s="202" t="s">
        <v>234</v>
      </c>
      <c r="B3" s="202" t="s">
        <v>236</v>
      </c>
      <c r="C3" s="202" t="s">
        <v>237</v>
      </c>
      <c r="D3" s="202" t="s">
        <v>238</v>
      </c>
      <c r="E3" s="202" t="s">
        <v>245</v>
      </c>
      <c r="F3" s="202" t="s">
        <v>246</v>
      </c>
      <c r="G3" s="202"/>
      <c r="H3" s="185" t="s">
        <v>248</v>
      </c>
      <c r="I3" s="202" t="s">
        <v>249</v>
      </c>
      <c r="J3" s="185" t="s">
        <v>25</v>
      </c>
      <c r="K3" s="185" t="s">
        <v>36</v>
      </c>
      <c r="L3" s="185" t="s">
        <v>41</v>
      </c>
      <c r="M3" s="185" t="s">
        <v>42</v>
      </c>
      <c r="N3" s="185" t="s">
        <v>42</v>
      </c>
      <c r="O3" s="202"/>
      <c r="P3" s="185" t="s">
        <v>43</v>
      </c>
      <c r="Q3" s="185" t="s">
        <v>43</v>
      </c>
      <c r="R3" s="185" t="s">
        <v>48</v>
      </c>
      <c r="S3" s="185" t="s">
        <v>53</v>
      </c>
      <c r="T3" s="185" t="s">
        <v>57</v>
      </c>
      <c r="U3" s="185" t="s">
        <v>57</v>
      </c>
      <c r="V3" s="185" t="s">
        <v>36</v>
      </c>
      <c r="W3" s="185" t="s">
        <v>41</v>
      </c>
      <c r="X3" s="185" t="s">
        <v>42</v>
      </c>
      <c r="Y3" s="185" t="s">
        <v>42</v>
      </c>
      <c r="Z3" s="185"/>
      <c r="AA3" s="185" t="s">
        <v>69</v>
      </c>
      <c r="AB3" s="185" t="s">
        <v>79</v>
      </c>
      <c r="AC3" s="185" t="s">
        <v>266</v>
      </c>
      <c r="AD3" s="185" t="s">
        <v>69</v>
      </c>
      <c r="AE3" s="185" t="s">
        <v>79</v>
      </c>
      <c r="AF3" s="185" t="s">
        <v>266</v>
      </c>
      <c r="AG3" s="185" t="s">
        <v>267</v>
      </c>
      <c r="AH3" s="185" t="s">
        <v>106</v>
      </c>
      <c r="AI3" s="185" t="s">
        <v>106</v>
      </c>
      <c r="AJ3" s="185" t="s">
        <v>111</v>
      </c>
      <c r="AK3" s="185" t="s">
        <v>111</v>
      </c>
      <c r="AL3" s="185" t="s">
        <v>113</v>
      </c>
      <c r="AM3" s="185" t="s">
        <v>114</v>
      </c>
      <c r="AN3" s="185" t="s">
        <v>114</v>
      </c>
      <c r="AO3" s="185" t="s">
        <v>270</v>
      </c>
      <c r="AP3" s="203" t="s">
        <v>271</v>
      </c>
      <c r="AQ3" s="203" t="s">
        <v>703</v>
      </c>
      <c r="AR3" s="203" t="s">
        <v>701</v>
      </c>
      <c r="AS3" s="203" t="s">
        <v>704</v>
      </c>
      <c r="AT3" s="203" t="s">
        <v>714</v>
      </c>
      <c r="AU3" s="203" t="s">
        <v>702</v>
      </c>
      <c r="AV3" s="203" t="s">
        <v>271</v>
      </c>
      <c r="AW3" s="203" t="s">
        <v>703</v>
      </c>
      <c r="AX3" s="203" t="s">
        <v>701</v>
      </c>
      <c r="AY3" s="203" t="s">
        <v>704</v>
      </c>
      <c r="AZ3" s="203" t="s">
        <v>714</v>
      </c>
      <c r="BA3" s="203" t="s">
        <v>702</v>
      </c>
      <c r="BB3" s="203" t="s">
        <v>272</v>
      </c>
      <c r="BC3" s="203" t="s">
        <v>708</v>
      </c>
      <c r="BD3" s="203" t="s">
        <v>706</v>
      </c>
      <c r="BE3" s="203" t="s">
        <v>710</v>
      </c>
      <c r="BF3" s="185" t="s">
        <v>116</v>
      </c>
      <c r="BG3" s="185" t="s">
        <v>118</v>
      </c>
      <c r="BH3" s="185" t="s">
        <v>120</v>
      </c>
      <c r="BI3" s="185" t="s">
        <v>122</v>
      </c>
      <c r="BJ3" s="185" t="s">
        <v>123</v>
      </c>
      <c r="BK3" s="185" t="s">
        <v>276</v>
      </c>
      <c r="BL3" s="185" t="s">
        <v>602</v>
      </c>
      <c r="BM3" s="185" t="s">
        <v>603</v>
      </c>
      <c r="BN3" s="185" t="s">
        <v>604</v>
      </c>
      <c r="BO3" s="185" t="s">
        <v>605</v>
      </c>
      <c r="BP3" s="185" t="s">
        <v>606</v>
      </c>
      <c r="BQ3" s="185" t="s">
        <v>608</v>
      </c>
      <c r="BR3" s="185" t="s">
        <v>609</v>
      </c>
      <c r="BS3" s="185" t="s">
        <v>610</v>
      </c>
      <c r="BT3" s="185" t="s">
        <v>613</v>
      </c>
      <c r="BU3" s="185" t="s">
        <v>617</v>
      </c>
      <c r="BV3" s="185" t="s">
        <v>618</v>
      </c>
      <c r="BW3" s="185" t="s">
        <v>619</v>
      </c>
      <c r="BX3" s="185" t="s">
        <v>621</v>
      </c>
      <c r="BY3" s="185" t="s">
        <v>622</v>
      </c>
      <c r="BZ3" s="185" t="s">
        <v>623</v>
      </c>
      <c r="CA3" s="185" t="s">
        <v>624</v>
      </c>
      <c r="CB3" s="218"/>
      <c r="CC3" s="41" t="s">
        <v>10</v>
      </c>
      <c r="CD3" s="41" t="s">
        <v>14</v>
      </c>
      <c r="CE3" s="186" t="s">
        <v>33</v>
      </c>
      <c r="CF3" s="186" t="s">
        <v>34</v>
      </c>
      <c r="CG3" s="186" t="s">
        <v>35</v>
      </c>
      <c r="CH3" s="186" t="s">
        <v>35</v>
      </c>
      <c r="CI3" s="186" t="s">
        <v>58</v>
      </c>
      <c r="CJ3" s="186" t="s">
        <v>63</v>
      </c>
      <c r="CK3" s="186" t="s">
        <v>63</v>
      </c>
      <c r="CL3" s="186" t="s">
        <v>58</v>
      </c>
      <c r="CM3" s="186" t="s">
        <v>63</v>
      </c>
      <c r="CN3" s="186" t="s">
        <v>63</v>
      </c>
      <c r="CO3" s="186" t="s">
        <v>76</v>
      </c>
      <c r="CP3" s="186" t="s">
        <v>86</v>
      </c>
      <c r="CQ3" s="186" t="s">
        <v>98</v>
      </c>
      <c r="CR3" s="186" t="s">
        <v>98</v>
      </c>
      <c r="CS3" s="186" t="s">
        <v>98</v>
      </c>
      <c r="CT3" s="186" t="s">
        <v>269</v>
      </c>
      <c r="CU3" s="186" t="s">
        <v>125</v>
      </c>
      <c r="CV3" s="186" t="s">
        <v>128</v>
      </c>
      <c r="CW3" s="198" t="s">
        <v>19</v>
      </c>
      <c r="CX3" s="198" t="s">
        <v>19</v>
      </c>
      <c r="CY3" s="198" t="s">
        <v>19</v>
      </c>
      <c r="CZ3" s="198" t="s">
        <v>21</v>
      </c>
      <c r="DA3" s="198" t="s">
        <v>52</v>
      </c>
      <c r="DB3" s="198" t="s">
        <v>66</v>
      </c>
      <c r="DC3" s="198" t="s">
        <v>77</v>
      </c>
      <c r="DD3" s="198" t="s">
        <v>89</v>
      </c>
      <c r="DE3" s="198" t="s">
        <v>268</v>
      </c>
      <c r="DF3" s="198" t="s">
        <v>101</v>
      </c>
      <c r="DG3" s="198" t="s">
        <v>103</v>
      </c>
      <c r="DH3" s="198" t="s">
        <v>104</v>
      </c>
      <c r="DI3" s="198" t="s">
        <v>273</v>
      </c>
      <c r="DJ3" s="198" t="s">
        <v>274</v>
      </c>
      <c r="DK3" s="198" t="s">
        <v>275</v>
      </c>
      <c r="DL3" s="198" t="s">
        <v>129</v>
      </c>
      <c r="DM3" s="198" t="s">
        <v>130</v>
      </c>
      <c r="DN3" s="198" t="s">
        <v>131</v>
      </c>
      <c r="DO3" s="198" t="s">
        <v>611</v>
      </c>
      <c r="DP3" s="198" t="s">
        <v>612</v>
      </c>
      <c r="DQ3" s="198" t="s">
        <v>614</v>
      </c>
      <c r="DR3" s="198" t="s">
        <v>615</v>
      </c>
      <c r="DS3" s="198" t="s">
        <v>616</v>
      </c>
      <c r="DT3" s="198" t="s">
        <v>620</v>
      </c>
      <c r="DU3" s="198" t="s">
        <v>625</v>
      </c>
      <c r="DV3" s="198" t="s">
        <v>626</v>
      </c>
      <c r="DW3" s="2"/>
    </row>
    <row r="4" spans="1:127" s="181" customFormat="1" x14ac:dyDescent="0.25">
      <c r="A4" s="202"/>
      <c r="B4" s="202"/>
      <c r="C4" s="202"/>
      <c r="D4" s="202"/>
      <c r="E4" s="202"/>
      <c r="F4" s="202"/>
      <c r="G4" s="202"/>
      <c r="H4" s="202" t="s">
        <v>823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 t="s">
        <v>823</v>
      </c>
      <c r="AH4" s="202" t="s">
        <v>823</v>
      </c>
      <c r="AI4" s="202" t="s">
        <v>823</v>
      </c>
      <c r="AJ4" s="202"/>
      <c r="AK4" s="202"/>
      <c r="AL4" s="202"/>
      <c r="AM4" s="202"/>
      <c r="AN4" s="202"/>
      <c r="AO4" s="202"/>
      <c r="AP4" s="202"/>
      <c r="AQ4" s="202"/>
      <c r="AR4" s="202"/>
      <c r="AS4" s="202" t="s">
        <v>823</v>
      </c>
      <c r="AT4" s="202"/>
      <c r="AU4" s="202"/>
      <c r="AV4" s="202"/>
      <c r="AW4" s="202"/>
      <c r="AX4" s="202"/>
      <c r="AY4" s="202"/>
      <c r="AZ4" s="202"/>
      <c r="BA4" s="202"/>
      <c r="BB4" s="202" t="s">
        <v>823</v>
      </c>
      <c r="BC4" s="202"/>
      <c r="BD4" s="202"/>
      <c r="BE4" s="202"/>
      <c r="BF4" s="202"/>
      <c r="BG4" s="202"/>
      <c r="BH4" s="202" t="s">
        <v>823</v>
      </c>
      <c r="BI4" s="202"/>
      <c r="BJ4" s="202"/>
      <c r="BK4" s="202"/>
      <c r="BL4" s="202"/>
      <c r="BM4" s="202"/>
      <c r="BN4" s="202"/>
      <c r="BO4" s="202"/>
      <c r="BP4" s="202"/>
      <c r="BQ4" s="202" t="s">
        <v>823</v>
      </c>
      <c r="BR4" s="202"/>
      <c r="BS4" s="202"/>
      <c r="BT4" s="202" t="s">
        <v>823</v>
      </c>
      <c r="BU4" s="202"/>
      <c r="BV4" s="202"/>
      <c r="BW4" s="202"/>
      <c r="BX4" s="202"/>
      <c r="BY4" s="202"/>
      <c r="BZ4" s="202"/>
      <c r="CA4" s="202"/>
      <c r="CB4" s="218"/>
      <c r="CC4" s="202" t="s">
        <v>813</v>
      </c>
      <c r="CD4" s="119" t="s">
        <v>813</v>
      </c>
      <c r="CE4" s="119" t="s">
        <v>813</v>
      </c>
      <c r="CF4" s="119" t="s">
        <v>813</v>
      </c>
      <c r="CG4" s="119" t="s">
        <v>813</v>
      </c>
      <c r="CH4" s="119" t="s">
        <v>813</v>
      </c>
      <c r="CI4" s="119"/>
      <c r="CJ4" s="119" t="s">
        <v>813</v>
      </c>
      <c r="CK4" s="119" t="s">
        <v>813</v>
      </c>
      <c r="CL4" s="119"/>
      <c r="CM4" s="119" t="s">
        <v>813</v>
      </c>
      <c r="CN4" s="119" t="s">
        <v>813</v>
      </c>
      <c r="CO4" s="202"/>
      <c r="CP4" s="202"/>
      <c r="CQ4" s="202"/>
      <c r="CR4" s="202"/>
      <c r="CS4" s="202"/>
      <c r="CT4" s="202" t="s">
        <v>823</v>
      </c>
      <c r="CU4" s="202" t="s">
        <v>823</v>
      </c>
      <c r="CV4" s="202" t="s">
        <v>823</v>
      </c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2"/>
    </row>
    <row r="5" spans="1:127" s="181" customFormat="1" ht="30" x14ac:dyDescent="0.25">
      <c r="A5" s="213">
        <v>0</v>
      </c>
      <c r="B5" s="213">
        <v>0</v>
      </c>
      <c r="C5" s="213">
        <v>0</v>
      </c>
      <c r="D5" s="213">
        <v>0</v>
      </c>
      <c r="E5" s="213">
        <v>0</v>
      </c>
      <c r="F5" s="213">
        <v>0</v>
      </c>
      <c r="G5" s="213">
        <v>0</v>
      </c>
      <c r="H5" s="192" t="s">
        <v>817</v>
      </c>
      <c r="I5" s="213">
        <v>0</v>
      </c>
      <c r="J5" s="213">
        <v>0</v>
      </c>
      <c r="K5" s="213">
        <v>0</v>
      </c>
      <c r="L5" s="213">
        <v>0</v>
      </c>
      <c r="M5" s="213">
        <v>0</v>
      </c>
      <c r="N5" s="213">
        <v>0</v>
      </c>
      <c r="O5" s="213">
        <v>0</v>
      </c>
      <c r="P5" s="213">
        <v>0</v>
      </c>
      <c r="Q5" s="213">
        <v>0</v>
      </c>
      <c r="R5" s="213">
        <v>0</v>
      </c>
      <c r="S5" s="213">
        <v>0</v>
      </c>
      <c r="T5" s="213">
        <v>0</v>
      </c>
      <c r="U5" s="213">
        <v>0</v>
      </c>
      <c r="V5" s="213">
        <v>0</v>
      </c>
      <c r="W5" s="213">
        <v>0</v>
      </c>
      <c r="X5" s="213">
        <v>0</v>
      </c>
      <c r="Y5" s="213">
        <v>0</v>
      </c>
      <c r="Z5" s="213">
        <v>0</v>
      </c>
      <c r="AA5" s="213">
        <v>0</v>
      </c>
      <c r="AB5" s="213">
        <v>0</v>
      </c>
      <c r="AC5" s="213">
        <v>0</v>
      </c>
      <c r="AD5" s="213">
        <v>0</v>
      </c>
      <c r="AE5" s="213">
        <v>0</v>
      </c>
      <c r="AF5" s="213">
        <v>0</v>
      </c>
      <c r="AG5" s="213" t="s">
        <v>2352</v>
      </c>
      <c r="AH5" s="214" t="s">
        <v>829</v>
      </c>
      <c r="AI5" s="214" t="s">
        <v>829</v>
      </c>
      <c r="AJ5" s="213">
        <v>0</v>
      </c>
      <c r="AK5" s="213">
        <v>0</v>
      </c>
      <c r="AL5" s="213">
        <v>0</v>
      </c>
      <c r="AM5" s="213">
        <v>0</v>
      </c>
      <c r="AN5" s="213">
        <v>0</v>
      </c>
      <c r="AO5" s="213">
        <v>0</v>
      </c>
      <c r="AP5" s="213">
        <v>0</v>
      </c>
      <c r="AQ5" s="213">
        <v>0</v>
      </c>
      <c r="AR5" s="213">
        <v>0</v>
      </c>
      <c r="AS5" s="192" t="s">
        <v>816</v>
      </c>
      <c r="AT5" s="213">
        <v>0</v>
      </c>
      <c r="AU5" s="213">
        <v>0</v>
      </c>
      <c r="AV5" s="213">
        <v>0</v>
      </c>
      <c r="AW5" s="213">
        <v>0</v>
      </c>
      <c r="AX5" s="213">
        <v>0</v>
      </c>
      <c r="AY5" s="213">
        <v>0</v>
      </c>
      <c r="AZ5" s="213">
        <v>0</v>
      </c>
      <c r="BA5" s="213">
        <v>0</v>
      </c>
      <c r="BB5" s="215" t="s">
        <v>818</v>
      </c>
      <c r="BC5" s="213">
        <v>0</v>
      </c>
      <c r="BD5" s="213">
        <v>0</v>
      </c>
      <c r="BE5" s="213">
        <v>0</v>
      </c>
      <c r="BF5" s="213">
        <v>0</v>
      </c>
      <c r="BG5" s="213">
        <v>0</v>
      </c>
      <c r="BH5" s="213" t="s">
        <v>2353</v>
      </c>
      <c r="BI5" s="213">
        <v>0</v>
      </c>
      <c r="BJ5" s="213">
        <v>0</v>
      </c>
      <c r="BK5" s="213">
        <v>0</v>
      </c>
      <c r="BL5" s="213">
        <v>0</v>
      </c>
      <c r="BM5" s="213">
        <v>0</v>
      </c>
      <c r="BN5" s="213">
        <v>0</v>
      </c>
      <c r="BO5" s="213">
        <v>0</v>
      </c>
      <c r="BP5" s="213">
        <v>0</v>
      </c>
      <c r="BQ5" s="213" t="s">
        <v>836</v>
      </c>
      <c r="BR5" s="213">
        <v>0</v>
      </c>
      <c r="BS5" s="213">
        <v>0</v>
      </c>
      <c r="BT5" s="213" t="s">
        <v>2354</v>
      </c>
      <c r="BU5" s="213">
        <v>0</v>
      </c>
      <c r="BV5" s="213">
        <v>0</v>
      </c>
      <c r="BW5" s="213">
        <v>0</v>
      </c>
      <c r="BX5" s="213">
        <v>0</v>
      </c>
      <c r="BY5" s="213">
        <v>0</v>
      </c>
      <c r="BZ5" s="213">
        <v>0</v>
      </c>
      <c r="CA5" s="213">
        <v>0</v>
      </c>
      <c r="CB5" s="219"/>
      <c r="CC5" s="213">
        <v>0</v>
      </c>
      <c r="CD5" s="213">
        <v>0</v>
      </c>
      <c r="CE5" s="213">
        <v>0</v>
      </c>
      <c r="CF5" s="213">
        <v>0</v>
      </c>
      <c r="CG5" s="213">
        <v>0</v>
      </c>
      <c r="CH5" s="213">
        <v>0</v>
      </c>
      <c r="CI5" s="213">
        <v>0</v>
      </c>
      <c r="CJ5" s="213">
        <v>0</v>
      </c>
      <c r="CK5" s="213">
        <v>0</v>
      </c>
      <c r="CL5" s="213">
        <v>0</v>
      </c>
      <c r="CM5" s="213">
        <v>0</v>
      </c>
      <c r="CN5" s="213">
        <v>0</v>
      </c>
      <c r="CO5" s="213">
        <v>0</v>
      </c>
      <c r="CP5" s="213">
        <v>0</v>
      </c>
      <c r="CQ5" s="213">
        <v>0</v>
      </c>
      <c r="CR5" s="213">
        <v>0</v>
      </c>
      <c r="CS5" s="213">
        <v>0</v>
      </c>
      <c r="CT5" s="49" t="s">
        <v>830</v>
      </c>
      <c r="CU5" s="119" t="s">
        <v>831</v>
      </c>
      <c r="CV5" s="119" t="s">
        <v>831</v>
      </c>
      <c r="CX5" s="195"/>
      <c r="CY5" s="195"/>
      <c r="CZ5" s="195"/>
      <c r="DA5" s="195"/>
      <c r="DB5" s="195"/>
      <c r="DC5" s="195"/>
      <c r="DD5" s="195"/>
      <c r="DE5" s="195"/>
      <c r="DF5" s="195"/>
      <c r="DG5" s="196"/>
      <c r="DH5" s="196"/>
      <c r="DI5" s="196"/>
      <c r="DJ5" s="197"/>
      <c r="DK5" s="195"/>
      <c r="DL5" s="195"/>
      <c r="DM5" s="195"/>
      <c r="DN5" s="195"/>
      <c r="DO5" s="195"/>
      <c r="DP5" s="195"/>
      <c r="DQ5" s="196"/>
      <c r="DR5" s="195"/>
      <c r="DS5" s="195"/>
      <c r="DT5" s="195"/>
      <c r="DU5" s="195"/>
      <c r="DV5" s="195"/>
      <c r="DW5" s="195"/>
    </row>
    <row r="6" spans="1:127" s="188" customFormat="1" ht="45" x14ac:dyDescent="0.25">
      <c r="A6" s="187">
        <v>0</v>
      </c>
      <c r="B6" s="187">
        <v>0</v>
      </c>
      <c r="C6" s="187">
        <v>0</v>
      </c>
      <c r="D6" s="187">
        <v>0</v>
      </c>
      <c r="E6" s="187">
        <v>0</v>
      </c>
      <c r="F6" s="187">
        <v>0</v>
      </c>
      <c r="G6" s="187">
        <v>0</v>
      </c>
      <c r="H6" s="192">
        <v>0</v>
      </c>
      <c r="I6" s="187">
        <v>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  <c r="P6" s="187">
        <v>0</v>
      </c>
      <c r="Q6" s="187">
        <v>0</v>
      </c>
      <c r="R6" s="187">
        <v>0</v>
      </c>
      <c r="S6" s="187">
        <v>0</v>
      </c>
      <c r="T6" s="187">
        <v>0</v>
      </c>
      <c r="U6" s="187">
        <v>0</v>
      </c>
      <c r="V6" s="187">
        <v>0</v>
      </c>
      <c r="W6" s="187">
        <v>0</v>
      </c>
      <c r="X6" s="187">
        <v>0</v>
      </c>
      <c r="Y6" s="187">
        <v>0</v>
      </c>
      <c r="Z6" s="187">
        <v>0</v>
      </c>
      <c r="AA6" s="187">
        <v>0</v>
      </c>
      <c r="AB6" s="187">
        <v>0</v>
      </c>
      <c r="AC6" s="187">
        <v>0</v>
      </c>
      <c r="AD6" s="187">
        <v>0</v>
      </c>
      <c r="AE6" s="187">
        <v>0</v>
      </c>
      <c r="AF6" s="187">
        <v>0</v>
      </c>
      <c r="AG6" s="187">
        <v>0</v>
      </c>
      <c r="AH6" s="193" t="s">
        <v>819</v>
      </c>
      <c r="AI6" s="193" t="s">
        <v>819</v>
      </c>
      <c r="AJ6" s="187">
        <v>0</v>
      </c>
      <c r="AK6" s="187">
        <v>0</v>
      </c>
      <c r="AL6" s="187">
        <v>0</v>
      </c>
      <c r="AM6" s="187">
        <v>0</v>
      </c>
      <c r="AN6" s="187">
        <v>0</v>
      </c>
      <c r="AO6" s="187">
        <v>0</v>
      </c>
      <c r="AP6" s="187">
        <v>0</v>
      </c>
      <c r="AQ6" s="187">
        <v>0</v>
      </c>
      <c r="AR6" s="187">
        <v>0</v>
      </c>
      <c r="AS6" s="187">
        <v>0</v>
      </c>
      <c r="AT6" s="187">
        <v>0</v>
      </c>
      <c r="AU6" s="187">
        <v>0</v>
      </c>
      <c r="AV6" s="187">
        <v>0</v>
      </c>
      <c r="AW6" s="187">
        <v>0</v>
      </c>
      <c r="AX6" s="187">
        <v>0</v>
      </c>
      <c r="AY6" s="187">
        <v>0</v>
      </c>
      <c r="AZ6" s="187">
        <v>0</v>
      </c>
      <c r="BA6" s="187">
        <v>0</v>
      </c>
      <c r="BB6" s="187" t="s">
        <v>2344</v>
      </c>
      <c r="BC6" s="187">
        <v>0</v>
      </c>
      <c r="BD6" s="187">
        <v>0</v>
      </c>
      <c r="BE6" s="187">
        <v>0</v>
      </c>
      <c r="BF6" s="187">
        <v>0</v>
      </c>
      <c r="BG6" s="187">
        <v>0</v>
      </c>
      <c r="BH6" s="187">
        <v>0</v>
      </c>
      <c r="BI6" s="187">
        <v>0</v>
      </c>
      <c r="BJ6" s="187">
        <v>0</v>
      </c>
      <c r="BK6" s="187">
        <v>0</v>
      </c>
      <c r="BL6" s="187">
        <v>0</v>
      </c>
      <c r="BM6" s="187">
        <v>0</v>
      </c>
      <c r="BN6" s="187">
        <v>0</v>
      </c>
      <c r="BO6" s="187">
        <v>0</v>
      </c>
      <c r="BP6" s="187">
        <v>0</v>
      </c>
      <c r="BQ6" s="187">
        <v>0</v>
      </c>
      <c r="BR6" s="187">
        <v>0</v>
      </c>
      <c r="BS6" s="187">
        <v>0</v>
      </c>
      <c r="BT6" s="187">
        <v>0</v>
      </c>
      <c r="BU6" s="187">
        <v>0</v>
      </c>
      <c r="BV6" s="187">
        <v>0</v>
      </c>
      <c r="BW6" s="187">
        <v>0</v>
      </c>
      <c r="BX6" s="187">
        <v>0</v>
      </c>
      <c r="BY6" s="187">
        <v>0</v>
      </c>
      <c r="BZ6" s="187">
        <v>0</v>
      </c>
      <c r="CA6" s="187">
        <v>0</v>
      </c>
      <c r="CB6" s="220"/>
      <c r="CC6" s="187">
        <v>0</v>
      </c>
      <c r="CD6" s="187">
        <v>0</v>
      </c>
      <c r="CE6" s="187">
        <v>0</v>
      </c>
      <c r="CF6" s="187">
        <v>0</v>
      </c>
      <c r="CG6" s="187">
        <v>0</v>
      </c>
      <c r="CH6" s="187">
        <v>0</v>
      </c>
      <c r="CI6" s="187">
        <v>0</v>
      </c>
      <c r="CJ6" s="187">
        <v>0</v>
      </c>
      <c r="CK6" s="187">
        <v>0</v>
      </c>
      <c r="CL6" s="187">
        <v>0</v>
      </c>
      <c r="CM6" s="187">
        <v>0</v>
      </c>
      <c r="CN6" s="187">
        <v>0</v>
      </c>
      <c r="CO6" s="187">
        <v>0</v>
      </c>
      <c r="CP6" s="187">
        <v>0</v>
      </c>
      <c r="CQ6" s="187">
        <v>0</v>
      </c>
      <c r="CR6" s="187">
        <v>0</v>
      </c>
      <c r="CS6" s="187">
        <v>0</v>
      </c>
      <c r="CT6" s="216">
        <v>0</v>
      </c>
      <c r="CU6" s="121">
        <v>0</v>
      </c>
      <c r="CV6" s="121">
        <v>0</v>
      </c>
    </row>
    <row r="7" spans="1:127" x14ac:dyDescent="0.25">
      <c r="A7" s="124"/>
      <c r="B7" s="124"/>
      <c r="C7" s="124"/>
      <c r="D7" s="124"/>
      <c r="E7" s="124"/>
      <c r="F7" s="124"/>
      <c r="G7" s="124"/>
      <c r="H7" s="124" t="s">
        <v>786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 t="s">
        <v>792</v>
      </c>
      <c r="AH7" s="222" t="s">
        <v>788</v>
      </c>
      <c r="AI7" s="124" t="s">
        <v>790</v>
      </c>
      <c r="AJ7" s="124"/>
      <c r="AK7" s="124"/>
      <c r="AL7" s="124"/>
      <c r="AM7" s="124"/>
      <c r="AN7" s="124"/>
      <c r="AO7" s="124"/>
      <c r="AP7" s="124"/>
      <c r="AQ7" s="124"/>
      <c r="AR7" s="124"/>
      <c r="AS7" s="124" t="s">
        <v>788</v>
      </c>
      <c r="AT7" s="124"/>
      <c r="AU7" s="124"/>
      <c r="AV7" s="124"/>
      <c r="AW7" s="124"/>
      <c r="AX7" s="124"/>
      <c r="AY7" s="124"/>
      <c r="AZ7" s="124"/>
      <c r="BA7" s="124"/>
      <c r="BB7" s="124" t="s">
        <v>788</v>
      </c>
      <c r="BC7" s="124"/>
      <c r="BD7" s="124"/>
      <c r="BE7" s="124"/>
      <c r="BF7" s="124"/>
      <c r="BG7" s="124"/>
      <c r="BH7" s="124" t="s">
        <v>814</v>
      </c>
      <c r="BI7" s="124"/>
      <c r="BJ7" s="124"/>
      <c r="BK7" s="124"/>
      <c r="BL7" s="124"/>
      <c r="BM7" s="124"/>
      <c r="BN7" s="124"/>
      <c r="BO7" s="124"/>
      <c r="BP7" s="124"/>
      <c r="BQ7" s="124" t="s">
        <v>788</v>
      </c>
      <c r="BR7" s="124"/>
      <c r="BS7" s="124"/>
      <c r="BT7" s="124" t="s">
        <v>2355</v>
      </c>
      <c r="BU7" s="124"/>
      <c r="BV7" s="124"/>
      <c r="BW7" s="124"/>
      <c r="BX7" s="124"/>
      <c r="BY7" s="124"/>
      <c r="BZ7" s="124"/>
      <c r="CA7" s="124"/>
      <c r="CC7" s="124" t="s">
        <v>788</v>
      </c>
      <c r="CD7" s="124" t="s">
        <v>788</v>
      </c>
      <c r="CE7" s="124" t="s">
        <v>788</v>
      </c>
      <c r="CF7" s="124" t="s">
        <v>788</v>
      </c>
      <c r="CG7" s="124" t="s">
        <v>788</v>
      </c>
      <c r="CH7" s="124" t="s">
        <v>788</v>
      </c>
      <c r="CI7" s="124"/>
      <c r="CJ7" s="124" t="s">
        <v>790</v>
      </c>
      <c r="CK7" s="124" t="s">
        <v>790</v>
      </c>
      <c r="CL7" s="124"/>
      <c r="CM7" s="124" t="s">
        <v>790</v>
      </c>
      <c r="CN7" s="124" t="s">
        <v>790</v>
      </c>
      <c r="CO7" s="124"/>
      <c r="CP7" s="124"/>
      <c r="CQ7" s="124"/>
      <c r="CR7" s="124"/>
      <c r="CS7" s="124"/>
      <c r="CT7" s="124" t="s">
        <v>788</v>
      </c>
      <c r="CU7" s="124" t="s">
        <v>788</v>
      </c>
      <c r="CV7" s="124" t="s">
        <v>788</v>
      </c>
    </row>
    <row r="8" spans="1:127" x14ac:dyDescent="0.25">
      <c r="A8" s="124"/>
      <c r="B8" s="124"/>
      <c r="C8" s="124"/>
      <c r="D8" s="124"/>
      <c r="E8" s="124"/>
      <c r="F8" s="124"/>
      <c r="G8" s="124"/>
      <c r="H8" s="124" t="s">
        <v>782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 t="s">
        <v>784</v>
      </c>
      <c r="AH8" s="124" t="s">
        <v>784</v>
      </c>
      <c r="AI8" s="124" t="s">
        <v>785</v>
      </c>
      <c r="AJ8" s="124"/>
      <c r="AK8" s="124"/>
      <c r="AL8" s="124"/>
      <c r="AM8" s="124"/>
      <c r="AN8" s="124"/>
      <c r="AO8" s="124"/>
      <c r="AP8" s="124"/>
      <c r="AQ8" s="124"/>
      <c r="AR8" s="124"/>
      <c r="AS8" s="124" t="s">
        <v>784</v>
      </c>
      <c r="AT8" s="124"/>
      <c r="AU8" s="124"/>
      <c r="AV8" s="124"/>
      <c r="AW8" s="124"/>
      <c r="AX8" s="124"/>
      <c r="AY8" s="124"/>
      <c r="AZ8" s="124"/>
      <c r="BA8" s="124"/>
      <c r="BB8" s="124" t="s">
        <v>814</v>
      </c>
      <c r="BC8" s="124"/>
      <c r="BD8" s="124"/>
      <c r="BE8" s="124"/>
      <c r="BF8" s="124"/>
      <c r="BG8" s="124"/>
      <c r="BH8" s="124" t="s">
        <v>780</v>
      </c>
      <c r="BI8" s="124"/>
      <c r="BJ8" s="124"/>
      <c r="BK8" s="124"/>
      <c r="BL8" s="124"/>
      <c r="BM8" s="124"/>
      <c r="BN8" s="124"/>
      <c r="BO8" s="124"/>
      <c r="BP8" s="124"/>
      <c r="BQ8" s="124" t="s">
        <v>787</v>
      </c>
      <c r="BR8" s="124"/>
      <c r="BS8" s="124"/>
      <c r="BT8" s="124" t="s">
        <v>784</v>
      </c>
      <c r="BU8" s="124"/>
      <c r="BV8" s="124"/>
      <c r="BW8" s="124"/>
      <c r="BX8" s="124"/>
      <c r="BY8" s="124"/>
      <c r="BZ8" s="124"/>
      <c r="CA8" s="124"/>
      <c r="CC8" s="124" t="s">
        <v>784</v>
      </c>
      <c r="CD8" s="124" t="s">
        <v>784</v>
      </c>
      <c r="CE8" s="124" t="s">
        <v>784</v>
      </c>
      <c r="CF8" s="124" t="s">
        <v>784</v>
      </c>
      <c r="CG8" s="124" t="s">
        <v>784</v>
      </c>
      <c r="CH8" s="124" t="s">
        <v>784</v>
      </c>
      <c r="CI8" s="124"/>
      <c r="CJ8" s="124" t="s">
        <v>785</v>
      </c>
      <c r="CK8" s="124" t="s">
        <v>785</v>
      </c>
      <c r="CL8" s="124"/>
      <c r="CM8" s="124" t="s">
        <v>785</v>
      </c>
      <c r="CN8" s="124" t="s">
        <v>785</v>
      </c>
      <c r="CO8" s="124"/>
      <c r="CP8" s="124"/>
      <c r="CQ8" s="124"/>
      <c r="CR8" s="124"/>
      <c r="CS8" s="124"/>
      <c r="CT8" s="124" t="s">
        <v>783</v>
      </c>
      <c r="CU8" s="124" t="s">
        <v>783</v>
      </c>
      <c r="CV8" s="124" t="s">
        <v>783</v>
      </c>
    </row>
    <row r="9" spans="1:127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 t="s">
        <v>814</v>
      </c>
      <c r="AH9" s="124" t="s">
        <v>814</v>
      </c>
      <c r="AI9" s="124" t="s">
        <v>783</v>
      </c>
      <c r="AJ9" s="124"/>
      <c r="AK9" s="124"/>
      <c r="AL9" s="124"/>
      <c r="AM9" s="124"/>
      <c r="AN9" s="124"/>
      <c r="AO9" s="124"/>
      <c r="AP9" s="124"/>
      <c r="AQ9" s="124"/>
      <c r="AR9" s="124"/>
      <c r="AS9" s="124" t="s">
        <v>789</v>
      </c>
      <c r="AT9" s="124"/>
      <c r="AU9" s="124"/>
      <c r="AV9" s="124"/>
      <c r="AW9" s="124"/>
      <c r="AX9" s="124"/>
      <c r="AY9" s="124"/>
      <c r="AZ9" s="124"/>
      <c r="BA9" s="124"/>
      <c r="BB9" s="124" t="s">
        <v>785</v>
      </c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 t="s">
        <v>814</v>
      </c>
      <c r="BR9" s="124"/>
      <c r="BS9" s="124"/>
      <c r="BT9" s="124" t="s">
        <v>814</v>
      </c>
      <c r="BU9" s="124"/>
      <c r="BV9" s="124"/>
      <c r="BW9" s="124"/>
      <c r="BX9" s="124"/>
      <c r="BY9" s="124"/>
      <c r="BZ9" s="124"/>
      <c r="CA9" s="124"/>
      <c r="CC9" s="124" t="s">
        <v>814</v>
      </c>
      <c r="CD9" s="124" t="s">
        <v>814</v>
      </c>
      <c r="CE9" s="124" t="s">
        <v>814</v>
      </c>
      <c r="CF9" s="124" t="s">
        <v>814</v>
      </c>
      <c r="CG9" s="124" t="s">
        <v>814</v>
      </c>
      <c r="CH9" s="124" t="s">
        <v>814</v>
      </c>
      <c r="CI9" s="124"/>
      <c r="CJ9" s="124" t="s">
        <v>782</v>
      </c>
      <c r="CK9" s="124" t="s">
        <v>782</v>
      </c>
      <c r="CL9" s="124"/>
      <c r="CM9" s="124" t="s">
        <v>782</v>
      </c>
      <c r="CN9" s="124" t="s">
        <v>782</v>
      </c>
      <c r="CO9" s="124"/>
      <c r="CP9" s="124"/>
      <c r="CQ9" s="124"/>
      <c r="CR9" s="124"/>
      <c r="CS9" s="124"/>
      <c r="CT9" s="124" t="s">
        <v>781</v>
      </c>
      <c r="CU9" s="124" t="s">
        <v>781</v>
      </c>
      <c r="CV9" s="124" t="s">
        <v>781</v>
      </c>
    </row>
    <row r="10" spans="1:127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 t="s">
        <v>789</v>
      </c>
      <c r="AH10" s="124" t="s">
        <v>789</v>
      </c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 t="s">
        <v>786</v>
      </c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 t="s">
        <v>789</v>
      </c>
      <c r="BR10" s="124"/>
      <c r="BS10" s="124"/>
      <c r="BT10" s="124" t="s">
        <v>788</v>
      </c>
      <c r="BU10" s="124"/>
      <c r="BV10" s="124"/>
      <c r="BW10" s="124"/>
      <c r="BX10" s="124"/>
      <c r="BY10" s="124"/>
      <c r="BZ10" s="124"/>
      <c r="CA10" s="124"/>
      <c r="CC10" s="124" t="s">
        <v>815</v>
      </c>
      <c r="CD10" s="124" t="s">
        <v>815</v>
      </c>
      <c r="CE10" s="124" t="s">
        <v>815</v>
      </c>
      <c r="CF10" s="124" t="s">
        <v>815</v>
      </c>
      <c r="CG10" s="124" t="s">
        <v>815</v>
      </c>
      <c r="CH10" s="124" t="s">
        <v>815</v>
      </c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 t="s">
        <v>791</v>
      </c>
      <c r="CU10" s="124" t="s">
        <v>791</v>
      </c>
      <c r="CV10" s="124" t="s">
        <v>791</v>
      </c>
    </row>
    <row r="11" spans="1:127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 t="s">
        <v>788</v>
      </c>
      <c r="AH11" s="124" t="s">
        <v>781</v>
      </c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 t="s">
        <v>784</v>
      </c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 t="s">
        <v>792</v>
      </c>
      <c r="BR11" s="124"/>
      <c r="BS11" s="124"/>
      <c r="BT11" s="124" t="s">
        <v>789</v>
      </c>
      <c r="BU11" s="124"/>
      <c r="BV11" s="124"/>
      <c r="BW11" s="124"/>
      <c r="BX11" s="124"/>
      <c r="BY11" s="124"/>
      <c r="BZ11" s="124"/>
      <c r="CA11" s="124"/>
      <c r="CC11" s="124" t="s">
        <v>786</v>
      </c>
      <c r="CD11" s="124" t="s">
        <v>786</v>
      </c>
      <c r="CE11" s="124" t="s">
        <v>786</v>
      </c>
      <c r="CF11" s="124" t="s">
        <v>786</v>
      </c>
      <c r="CG11" s="124" t="s">
        <v>786</v>
      </c>
      <c r="CH11" s="124" t="s">
        <v>786</v>
      </c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 t="s">
        <v>784</v>
      </c>
      <c r="CU11" s="124" t="s">
        <v>784</v>
      </c>
      <c r="CV11" s="124" t="s">
        <v>784</v>
      </c>
    </row>
    <row r="12" spans="1:127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 t="s">
        <v>780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 t="s">
        <v>780</v>
      </c>
      <c r="BU12" s="124"/>
      <c r="BV12" s="124"/>
      <c r="BW12" s="124"/>
      <c r="BX12" s="124"/>
      <c r="BY12" s="124"/>
      <c r="BZ12" s="124"/>
      <c r="CA12" s="124"/>
      <c r="CC12" s="124" t="s">
        <v>789</v>
      </c>
      <c r="CD12" s="124" t="s">
        <v>789</v>
      </c>
      <c r="CE12" s="124" t="s">
        <v>789</v>
      </c>
      <c r="CF12" s="124" t="s">
        <v>789</v>
      </c>
      <c r="CG12" s="124" t="s">
        <v>789</v>
      </c>
      <c r="CH12" s="124" t="s">
        <v>789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 t="s">
        <v>787</v>
      </c>
      <c r="CU12" s="124" t="s">
        <v>787</v>
      </c>
      <c r="CV12" s="124" t="s">
        <v>787</v>
      </c>
    </row>
    <row r="13" spans="1:127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 t="s">
        <v>790</v>
      </c>
      <c r="CU13" s="124" t="s">
        <v>790</v>
      </c>
      <c r="CV13" s="124" t="s">
        <v>790</v>
      </c>
    </row>
    <row r="14" spans="1:127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 t="s">
        <v>782</v>
      </c>
      <c r="CU14" s="124" t="s">
        <v>782</v>
      </c>
      <c r="CV14" s="124" t="s">
        <v>782</v>
      </c>
    </row>
    <row r="15" spans="1:127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 t="s">
        <v>814</v>
      </c>
      <c r="CU15" s="124" t="s">
        <v>814</v>
      </c>
      <c r="CV15" s="124" t="s">
        <v>814</v>
      </c>
    </row>
    <row r="16" spans="1:127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 t="s">
        <v>815</v>
      </c>
      <c r="CU16" s="124" t="s">
        <v>815</v>
      </c>
      <c r="CV16" s="124" t="s">
        <v>815</v>
      </c>
    </row>
    <row r="17" spans="1:127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 t="s">
        <v>780</v>
      </c>
      <c r="CU17" s="124" t="s">
        <v>780</v>
      </c>
      <c r="CV17" s="124" t="s">
        <v>780</v>
      </c>
    </row>
    <row r="18" spans="1:127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 t="s">
        <v>785</v>
      </c>
      <c r="CU18" s="124" t="s">
        <v>785</v>
      </c>
      <c r="CV18" s="124" t="s">
        <v>785</v>
      </c>
    </row>
    <row r="19" spans="1:127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 t="s">
        <v>786</v>
      </c>
      <c r="CU19" s="124" t="s">
        <v>786</v>
      </c>
      <c r="CV19" s="124" t="s">
        <v>786</v>
      </c>
      <c r="DW19" t="s">
        <v>813</v>
      </c>
    </row>
    <row r="20" spans="1:127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 t="s">
        <v>789</v>
      </c>
      <c r="CU20" s="124" t="s">
        <v>789</v>
      </c>
      <c r="CV20" s="124" t="s">
        <v>789</v>
      </c>
      <c r="DW20" t="s">
        <v>823</v>
      </c>
    </row>
    <row r="21" spans="1:127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 t="s">
        <v>792</v>
      </c>
      <c r="CU21" s="124" t="s">
        <v>792</v>
      </c>
      <c r="CV21" s="124" t="s">
        <v>792</v>
      </c>
    </row>
    <row r="22" spans="1:127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</row>
    <row r="23" spans="1:127" x14ac:dyDescent="0.25">
      <c r="A23" s="158" t="str">
        <f>VLOOKUP(A3,Scheme!$E$3:$H$128,4,FALSE)</f>
        <v>NOK</v>
      </c>
      <c r="B23" s="158" t="str">
        <f>VLOOKUP(B3,Scheme!$E$3:$H$128,4,FALSE)</f>
        <v>NOK</v>
      </c>
      <c r="C23" s="158" t="str">
        <f>VLOOKUP(C3,Scheme!$E$3:$H$128,4,FALSE)</f>
        <v>NOK</v>
      </c>
      <c r="D23" s="158" t="str">
        <f>VLOOKUP(D3,Scheme!$E$3:$H$128,4,FALSE)</f>
        <v>NOK</v>
      </c>
      <c r="E23" s="158" t="str">
        <f>VLOOKUP(E3,Scheme!$E$3:$H$128,4,FALSE)</f>
        <v>NOK</v>
      </c>
      <c r="F23" s="158" t="str">
        <f>VLOOKUP(F3,Scheme!$E$3:$H$128,4,FALSE)</f>
        <v>NOK</v>
      </c>
      <c r="G23" s="158" t="s">
        <v>235</v>
      </c>
      <c r="H23" s="158" t="str">
        <f>VLOOKUP(H3,Scheme!$E$3:$H$128,4,FALSE)</f>
        <v>NOK</v>
      </c>
      <c r="I23" s="158" t="str">
        <f>VLOOKUP(I3,Scheme!$E$3:$H$128,4,FALSE)</f>
        <v>NOK</v>
      </c>
      <c r="J23" s="158" t="str">
        <f>VLOOKUP(J3,Scheme!$E$3:$H$128,4,FALSE)</f>
        <v>NOK</v>
      </c>
      <c r="K23" s="158" t="str">
        <f>VLOOKUP(K3,Scheme!$E$3:$H$128,4,FALSE)</f>
        <v>NOK</v>
      </c>
      <c r="L23" s="158" t="str">
        <f>VLOOKUP(L3,Scheme!$E$3:$H$128,4,FALSE)</f>
        <v>NOK</v>
      </c>
      <c r="M23" s="158" t="str">
        <f>VLOOKUP(M3,Scheme!$E$3:$H$128,4,FALSE)</f>
        <v>NOK</v>
      </c>
      <c r="N23" s="158" t="str">
        <f>VLOOKUP(N3,Scheme!$E$3:$H$128,4,FALSE)</f>
        <v>NOK</v>
      </c>
      <c r="O23" s="158" t="s">
        <v>235</v>
      </c>
      <c r="P23" s="158" t="str">
        <f>VLOOKUP(P3,Scheme!$E$3:$H$128,4,FALSE)</f>
        <v>NOK</v>
      </c>
      <c r="Q23" s="158" t="str">
        <f>VLOOKUP(Q3,Scheme!$E$3:$H$128,4,FALSE)</f>
        <v>NOK</v>
      </c>
      <c r="R23" s="158" t="str">
        <f>VLOOKUP(R3,Scheme!$E$3:$H$128,4,FALSE)</f>
        <v>NOK</v>
      </c>
      <c r="S23" s="158" t="str">
        <f>VLOOKUP(S3,Scheme!$E$3:$H$128,4,FALSE)</f>
        <v>NOK</v>
      </c>
      <c r="T23" s="158" t="str">
        <f>VLOOKUP(T3,Scheme!$E$3:$H$128,4,FALSE)</f>
        <v>NOK</v>
      </c>
      <c r="U23" s="158" t="str">
        <f>VLOOKUP(U3,Scheme!$E$3:$H$128,4,FALSE)</f>
        <v>NOK</v>
      </c>
      <c r="V23" s="158" t="str">
        <f>VLOOKUP(V3,Scheme!$E$3:$H$128,4,FALSE)</f>
        <v>NOK</v>
      </c>
      <c r="W23" s="158" t="str">
        <f>VLOOKUP(W3,Scheme!$E$3:$H$128,4,FALSE)</f>
        <v>NOK</v>
      </c>
      <c r="X23" s="158" t="str">
        <f>VLOOKUP(X3,Scheme!$E$3:$H$128,4,FALSE)</f>
        <v>NOK</v>
      </c>
      <c r="Y23" s="158" t="str">
        <f>VLOOKUP(Y3,Scheme!$E$3:$H$128,4,FALSE)</f>
        <v>NOK</v>
      </c>
      <c r="Z23" s="158" t="e">
        <f>VLOOKUP(Z3,Scheme!$E$3:$H$128,4,FALSE)</f>
        <v>#N/A</v>
      </c>
      <c r="AA23" s="158" t="str">
        <f>VLOOKUP(AA3,Scheme!$E$3:$H$128,4,FALSE)</f>
        <v>NOK</v>
      </c>
      <c r="AB23" s="158" t="str">
        <f>VLOOKUP(AB3,Scheme!$E$3:$H$128,4,FALSE)</f>
        <v>NOK</v>
      </c>
      <c r="AC23" s="158" t="str">
        <f>VLOOKUP(AC3,Scheme!$E$3:$H$128,4,FALSE)</f>
        <v>NOK</v>
      </c>
      <c r="AD23" s="158" t="str">
        <f>VLOOKUP(AD3,Scheme!$E$3:$H$128,4,FALSE)</f>
        <v>NOK</v>
      </c>
      <c r="AE23" s="158" t="str">
        <f>VLOOKUP(AE3,Scheme!$E$3:$H$128,4,FALSE)</f>
        <v>NOK</v>
      </c>
      <c r="AF23" s="158" t="str">
        <f>VLOOKUP(AF3,Scheme!$E$3:$H$128,4,FALSE)</f>
        <v>NOK</v>
      </c>
      <c r="AG23" s="158" t="str">
        <f>VLOOKUP(AG3,Scheme!$E$3:$H$128,4,FALSE)</f>
        <v>NOK</v>
      </c>
      <c r="AH23" s="158" t="s">
        <v>835</v>
      </c>
      <c r="AI23" s="158" t="s">
        <v>835</v>
      </c>
      <c r="AJ23" s="158" t="str">
        <f>VLOOKUP(AJ3,Scheme!$E$3:$H$128,4,FALSE)</f>
        <v>NOK</v>
      </c>
      <c r="AK23" s="158" t="str">
        <f>VLOOKUP(AK3,Scheme!$E$3:$H$128,4,FALSE)</f>
        <v>NOK</v>
      </c>
      <c r="AL23" s="158" t="str">
        <f>IF('gevaarljike stoffen'!M11=Scheme!A133,"DERPO",VLOOKUP(AL3,Scheme!$E$3:$H$128,4,FALSE))</f>
        <v>DERPO</v>
      </c>
      <c r="AM23" s="158" t="str">
        <f>VLOOKUP(AM3,Scheme!$E$3:$H$128,4,FALSE)</f>
        <v>NOK</v>
      </c>
      <c r="AN23" s="158" t="str">
        <f>VLOOKUP(AN3,Scheme!$E$3:$H$128,4,FALSE)</f>
        <v>NOK</v>
      </c>
      <c r="AO23" s="158" t="str">
        <f>IF('gevaarljike stoffen'!M11=Scheme!A133,"DERPO",VLOOKUP(AO3,Scheme!$E$3:$H$128,4,FALSE))</f>
        <v>DERPO</v>
      </c>
      <c r="AP23" s="158" t="str">
        <f>VLOOKUP(AP3,Scheme!$E$3:$H$128,4,FALSE)</f>
        <v>NOK</v>
      </c>
      <c r="AQ23" s="158" t="str">
        <f>VLOOKUP(AQ3,Scheme!$E$3:$H$128,4,FALSE)</f>
        <v>NOK</v>
      </c>
      <c r="AR23" s="158" t="str">
        <f>VLOOKUP(AR3,Scheme!$E$3:$H$128,4,FALSE)</f>
        <v>NOK</v>
      </c>
      <c r="AS23" s="158" t="str">
        <f>VLOOKUP(AS3,Scheme!$E$3:$H$128,4,FALSE)</f>
        <v>NOK</v>
      </c>
      <c r="AT23" s="158" t="str">
        <f>VLOOKUP(AT3,Scheme!$E$3:$H$128,4,FALSE)</f>
        <v>NOK</v>
      </c>
      <c r="AU23" s="158" t="str">
        <f>VLOOKUP(AU3,Scheme!$E$3:$H$128,4,FALSE)</f>
        <v>NOK</v>
      </c>
      <c r="AV23" s="158" t="str">
        <f>VLOOKUP(AV3,Scheme!$E$3:$H$128,4,FALSE)</f>
        <v>NOK</v>
      </c>
      <c r="AW23" s="158" t="str">
        <f>VLOOKUP(AW3,Scheme!$E$3:$H$128,4,FALSE)</f>
        <v>NOK</v>
      </c>
      <c r="AX23" s="158" t="str">
        <f>VLOOKUP(AX3,Scheme!$E$3:$H$128,4,FALSE)</f>
        <v>NOK</v>
      </c>
      <c r="AY23" s="158" t="str">
        <f>VLOOKUP(AY3,Scheme!$E$3:$H$128,4,FALSE)</f>
        <v>NOK</v>
      </c>
      <c r="AZ23" s="158" t="str">
        <f>VLOOKUP(AZ3,Scheme!$E$3:$H$128,4,FALSE)</f>
        <v>NOK</v>
      </c>
      <c r="BA23" s="158" t="str">
        <f>VLOOKUP(BA3,Scheme!$E$3:$H$128,4,FALSE)</f>
        <v>NOK</v>
      </c>
      <c r="BB23" s="158" t="str">
        <f>IF('gevaarljike stoffen'!M11=Scheme!A133,"DERPO",VLOOKUP(BB3,Scheme!$E$3:$H$128,4,FALSE))</f>
        <v>DERPO</v>
      </c>
      <c r="BC23" s="158" t="str">
        <f>IF('gevaarljike stoffen'!M11=Scheme!A133,"DERPO",VLOOKUP(BC3,Scheme!$E$3:$H$128,4,FALSE))</f>
        <v>DERPO</v>
      </c>
      <c r="BD23" s="158" t="str">
        <f>IF('gevaarljike stoffen'!M11=Scheme!A133,"DERPO",VLOOKUP(BD3,Scheme!$E$3:$H$128,4,FALSE))</f>
        <v>DERPO</v>
      </c>
      <c r="BE23" s="158" t="str">
        <f>IF('gevaarljike stoffen'!M11=Scheme!A133,"DERPO",VLOOKUP(BE3,Scheme!$E$3:$H$128,4,FALSE))</f>
        <v>DERPO</v>
      </c>
      <c r="BF23" s="158" t="str">
        <f>VLOOKUP(BF3,Scheme!$E$3:$H$128,4,FALSE)</f>
        <v>NOK</v>
      </c>
      <c r="BG23" s="158" t="str">
        <f>IF('gevaarljike stoffen'!M11=Scheme!A133,"DERPO",VLOOKUP(BG3,Scheme!$E$3:$H$128,4,FALSE))</f>
        <v>DERPO</v>
      </c>
      <c r="BH23" s="158" t="str">
        <f>VLOOKUP(BH3,Scheme!$E$3:$H$128,4,FALSE)</f>
        <v>NOK</v>
      </c>
      <c r="BI23" s="158" t="str">
        <f>IF('gevaarljike stoffen'!M11=Scheme!A133,"DERPO",VLOOKUP(BI3,Scheme!$E$3:$H$128,4,FALSE))</f>
        <v>DERPO</v>
      </c>
      <c r="BJ23" s="158">
        <f>VLOOKUP(BJ3,Scheme!$E$3:$H$128,4,FALSE)</f>
        <v>0</v>
      </c>
      <c r="BK23" s="158" t="str">
        <f>VLOOKUP(BK3,Scheme!$E$3:$H$128,4,FALSE)</f>
        <v>NOK</v>
      </c>
      <c r="BL23" s="158" t="str">
        <f>VLOOKUP(BL3,Scheme!$E$3:$H$128,4,FALSE)</f>
        <v>NOK</v>
      </c>
      <c r="BM23" s="158" t="str">
        <f>VLOOKUP(BM3,Scheme!$E$3:$H$128,4,FALSE)</f>
        <v>NOK</v>
      </c>
      <c r="BN23" s="158" t="str">
        <f>VLOOKUP(BN3,Scheme!$E$3:$H$128,4,FALSE)</f>
        <v>NOK</v>
      </c>
      <c r="BO23" s="158" t="str">
        <f>VLOOKUP(BO3,Scheme!$E$3:$H$128,4,FALSE)</f>
        <v>NOK</v>
      </c>
      <c r="BP23" s="158" t="str">
        <f>VLOOKUP(BP3,Scheme!$E$3:$H$128,4,FALSE)</f>
        <v>NOK</v>
      </c>
      <c r="BQ23" s="158" t="str">
        <f>VLOOKUP(BQ3,Scheme!$E$3:$H$128,4,FALSE)</f>
        <v>NOK</v>
      </c>
      <c r="BR23" s="158" t="str">
        <f>VLOOKUP(BR3,Scheme!$E$3:$H$128,4,FALSE)</f>
        <v>NOK</v>
      </c>
      <c r="BS23" s="158" t="str">
        <f>VLOOKUP(BS3,Scheme!$E$3:$H$128,4,FALSE)</f>
        <v>NOK</v>
      </c>
      <c r="BT23" s="158" t="str">
        <f>VLOOKUP(BT3,Scheme!$E$3:$H$128,4,FALSE)</f>
        <v>NOK</v>
      </c>
      <c r="BU23" s="158" t="str">
        <f>VLOOKUP(BU3,Scheme!$E$3:$H$128,4,FALSE)</f>
        <v>NOK</v>
      </c>
      <c r="BV23" s="158" t="str">
        <f>VLOOKUP(BV3,Scheme!$E$3:$H$128,4,FALSE)</f>
        <v>NOK</v>
      </c>
      <c r="BW23" s="158" t="str">
        <f>VLOOKUP(BW3,Scheme!$E$3:$H$128,4,FALSE)</f>
        <v>NOK</v>
      </c>
      <c r="BX23" s="158" t="str">
        <f>VLOOKUP(BX3,Scheme!$E$3:$H$128,4,FALSE)</f>
        <v>NOK</v>
      </c>
      <c r="BY23" s="158" t="str">
        <f>VLOOKUP(BY3,Scheme!$E$3:$H$128,4,FALSE)</f>
        <v>NOK</v>
      </c>
      <c r="BZ23" s="158" t="str">
        <f>VLOOKUP(BZ3,Scheme!$E$3:$H$128,4,FALSE)</f>
        <v>NOK</v>
      </c>
      <c r="CA23" s="158" t="str">
        <f>VLOOKUP(CA3,Scheme!$E$3:$H$128,4,FALSE)</f>
        <v>NOK</v>
      </c>
      <c r="CC23" s="119" t="str">
        <f>VLOOKUP(CC3,Scheme!$E$3:$H$128,4,FALSE)</f>
        <v>TBA</v>
      </c>
      <c r="CD23" s="119" t="str">
        <f>VLOOKUP(CD3,Scheme!$E$3:$H$128,4,FALSE)</f>
        <v>TBA</v>
      </c>
      <c r="CE23" s="119" t="str">
        <f>VLOOKUP(CE3,Scheme!$E$3:$H$128,4,FALSE)</f>
        <v>TBA</v>
      </c>
      <c r="CF23" s="119" t="str">
        <f>VLOOKUP(CF3,Scheme!$E$3:$H$128,4,FALSE)</f>
        <v>TBA</v>
      </c>
      <c r="CG23" s="119" t="str">
        <f>VLOOKUP(CG3,Scheme!$E$3:$H$128,4,FALSE)</f>
        <v>TBA</v>
      </c>
      <c r="CH23" s="119" t="str">
        <f>VLOOKUP(CH3,Scheme!$E$3:$H$128,4,FALSE)</f>
        <v>TBA</v>
      </c>
      <c r="CI23" s="119" t="str">
        <f>VLOOKUP(CI3,Scheme!$E$3:$H$128,4,FALSE)</f>
        <v>TBA</v>
      </c>
      <c r="CJ23" s="119" t="str">
        <f>VLOOKUP(CJ3,Scheme!$E$3:$H$128,4,FALSE)</f>
        <v>TBA</v>
      </c>
      <c r="CK23" s="119" t="str">
        <f>VLOOKUP(CK3,Scheme!$E$3:$H$128,4,FALSE)</f>
        <v>TBA</v>
      </c>
      <c r="CL23" s="119" t="str">
        <f>VLOOKUP(CL3,Scheme!$E$3:$H$128,4,FALSE)</f>
        <v>TBA</v>
      </c>
      <c r="CM23" s="119" t="str">
        <f>VLOOKUP(CM3,Scheme!$E$3:$H$128,4,FALSE)</f>
        <v>TBA</v>
      </c>
      <c r="CN23" s="119" t="str">
        <f>VLOOKUP(CN3,Scheme!$E$3:$H$128,4,FALSE)</f>
        <v>TBA</v>
      </c>
      <c r="CO23" s="119" t="str">
        <f>VLOOKUP(CO3,Scheme!$E$3:$H$128,4,FALSE)</f>
        <v>TBA</v>
      </c>
      <c r="CP23" s="119" t="str">
        <f>VLOOKUP(CP3,Scheme!$E$3:$H$128,4,FALSE)</f>
        <v>TBA</v>
      </c>
      <c r="CQ23" s="119" t="str">
        <f>VLOOKUP(CQ3,Scheme!$E$3:$H$128,4,FALSE)</f>
        <v>TBA</v>
      </c>
      <c r="CR23" s="119" t="str">
        <f>VLOOKUP(CR3,Scheme!$E$3:$H$128,4,FALSE)</f>
        <v>TBA</v>
      </c>
      <c r="CS23" s="119" t="str">
        <f>VLOOKUP(CS3,Scheme!$E$3:$H$128,4,FALSE)</f>
        <v>TBA</v>
      </c>
      <c r="CT23" s="119" t="str">
        <f>VLOOKUP(CT3,Scheme!$E$3:$H$128,4,FALSE)</f>
        <v>TBA</v>
      </c>
      <c r="CU23" s="119" t="str">
        <f>VLOOKUP(CU3,Scheme!$E$3:$H$128,4,FALSE)</f>
        <v>TBA</v>
      </c>
      <c r="CV23" s="119" t="str">
        <f>VLOOKUP(CV3,Scheme!$E$3:$H$128,4,FALSE)</f>
        <v>TBA</v>
      </c>
      <c r="CW23" t="s">
        <v>811</v>
      </c>
      <c r="CX23" t="s">
        <v>811</v>
      </c>
      <c r="CY23" t="s">
        <v>811</v>
      </c>
      <c r="CZ23" t="s">
        <v>811</v>
      </c>
      <c r="DA23" t="s">
        <v>811</v>
      </c>
      <c r="DB23" t="s">
        <v>811</v>
      </c>
      <c r="DC23" t="s">
        <v>811</v>
      </c>
      <c r="DD23" t="s">
        <v>811</v>
      </c>
      <c r="DE23" t="s">
        <v>811</v>
      </c>
      <c r="DF23" t="s">
        <v>811</v>
      </c>
      <c r="DG23" t="s">
        <v>811</v>
      </c>
      <c r="DH23" t="s">
        <v>811</v>
      </c>
      <c r="DI23" t="s">
        <v>811</v>
      </c>
      <c r="DJ23" t="s">
        <v>811</v>
      </c>
      <c r="DK23" t="s">
        <v>811</v>
      </c>
      <c r="DL23" t="s">
        <v>811</v>
      </c>
      <c r="DM23" t="s">
        <v>811</v>
      </c>
      <c r="DN23" t="s">
        <v>811</v>
      </c>
      <c r="DO23" t="s">
        <v>811</v>
      </c>
      <c r="DP23" t="s">
        <v>811</v>
      </c>
      <c r="DQ23" t="s">
        <v>811</v>
      </c>
      <c r="DR23" t="s">
        <v>811</v>
      </c>
      <c r="DS23" t="s">
        <v>811</v>
      </c>
      <c r="DT23" t="s">
        <v>811</v>
      </c>
      <c r="DU23" t="s">
        <v>811</v>
      </c>
      <c r="DV23" t="s">
        <v>811</v>
      </c>
    </row>
    <row r="24" spans="1:127" x14ac:dyDescent="0.25">
      <c r="A24" s="161" t="str">
        <f>IF(A4="all RM",IF(A25,"DER",A23),
IF(A5=0,A23,
IF(A6=0,IF(AND(VLOOKUP(A5,'gevaarljike stoffen'!$Q$4:$R$15,2,FALSE)="yes",A25),"DER",A23),
IF(AND(VLOOKUP(A5,'gevaarljike stoffen'!$Q$4:$R$15,2,FALSE)="yes",(VLOOKUP(A6,'gevaarljike stoffen'!$Q$4:$R$15,2,FALSE)="yes"),A25),"DER",A23))))</f>
        <v>NOK</v>
      </c>
      <c r="B24" s="161" t="str">
        <f>IF(B4="all RM",IF(B25,"DER",B23),
IF(B5=0,B23,
IF(B6=0,IF(AND(VLOOKUP(B5,'gevaarljike stoffen'!$Q$4:$R$15,2,FALSE)="yes",B25),"DER",B23),
IF(AND(VLOOKUP(B5,'gevaarljike stoffen'!$Q$4:$R$15,2,FALSE)="yes",(VLOOKUP(B6,'gevaarljike stoffen'!$Q$4:$R$15,2,FALSE)="yes"),B25),"DER",B23))))</f>
        <v>NOK</v>
      </c>
      <c r="C24" s="161" t="str">
        <f>IF(C4="all RM",IF(C25,"DER",C23),
IF(C5=0,C23,
IF(C6=0,IF(AND(VLOOKUP(C5,'gevaarljike stoffen'!$Q$4:$R$15,2,FALSE)="yes",C25),"DER",C23),
IF(AND(VLOOKUP(C5,'gevaarljike stoffen'!$Q$4:$R$15,2,FALSE)="yes",(VLOOKUP(C6,'gevaarljike stoffen'!$Q$4:$R$15,2,FALSE)="yes"),C25),"DER",C23))))</f>
        <v>NOK</v>
      </c>
      <c r="D24" s="161" t="str">
        <f>IF(D4="all RM",IF(D25,"DER",D23),
IF(D5=0,D23,
IF(D6=0,IF(AND(VLOOKUP(D5,'gevaarljike stoffen'!$Q$4:$R$15,2,FALSE)="yes",D25),"DER",D23),
IF(AND(VLOOKUP(D5,'gevaarljike stoffen'!$Q$4:$R$15,2,FALSE)="yes",(VLOOKUP(D6,'gevaarljike stoffen'!$Q$4:$R$15,2,FALSE)="yes"),D25),"DER",D23))))</f>
        <v>NOK</v>
      </c>
      <c r="E24" s="161" t="str">
        <f>IF(E4="all RM",IF(E25,"DER",E23),
IF(E5=0,E23,
IF(E6=0,IF(AND(VLOOKUP(E5,'gevaarljike stoffen'!$Q$4:$R$15,2,FALSE)="yes",E25),"DER",E23),
IF(AND(VLOOKUP(E5,'gevaarljike stoffen'!$Q$4:$R$15,2,FALSE)="yes",(VLOOKUP(E6,'gevaarljike stoffen'!$Q$4:$R$15,2,FALSE)="yes"),E25),"DER",E23))))</f>
        <v>NOK</v>
      </c>
      <c r="F24" s="161" t="str">
        <f>IF(F4="all RM",IF(F25,"DER",F23),
IF(F5=0,F23,
IF(F6=0,IF(AND(VLOOKUP(F5,'gevaarljike stoffen'!$Q$4:$R$15,2,FALSE)="yes",F25),"DER",F23),
IF(AND(VLOOKUP(F5,'gevaarljike stoffen'!$Q$4:$R$15,2,FALSE)="yes",(VLOOKUP(F6,'gevaarljike stoffen'!$Q$4:$R$15,2,FALSE)="yes"),F25),"DER",F23))))</f>
        <v>NOK</v>
      </c>
      <c r="G24" s="161" t="str">
        <f>IF(G4="all RM",IF(G25,"DER",G23),
IF(G5=0,G23,
IF(G6=0,IF(AND(VLOOKUP(G5,'gevaarljike stoffen'!$Q$4:$R$15,2,FALSE)="yes",G25),"DER",G23),
IF(AND(VLOOKUP(G5,'gevaarljike stoffen'!$Q$4:$R$15,2,FALSE)="yes",(VLOOKUP(G6,'gevaarljike stoffen'!$Q$4:$R$15,2,FALSE)="yes"),G25),"DER",G23))))</f>
        <v>NOK</v>
      </c>
      <c r="H24" s="161" t="e">
        <f>IF(H4="all RM",IF(H25,"DER",H23),
IF(H5=0,H23,
IF(H6=0,IF(AND(VLOOKUP(H5,'gevaarljike stoffen'!$Q$4:$R$15,2,FALSE)="yes",H25),"DER",H23),
IF(AND(VLOOKUP(H5,'gevaarljike stoffen'!$Q$4:$R$15,2,FALSE)="yes",(VLOOKUP(H6,'gevaarljike stoffen'!$Q$4:$R$15,2,FALSE)="yes"),H25),"DER",H23))))</f>
        <v>#N/A</v>
      </c>
      <c r="I24" s="161" t="str">
        <f>IF(I4="all RM",IF(I25,"DER",I23),
IF(I5=0,I23,
IF(I6=0,IF(AND(VLOOKUP(I5,'gevaarljike stoffen'!$Q$4:$R$15,2,FALSE)="yes",I25),"DER",I23),
IF(AND(VLOOKUP(I5,'gevaarljike stoffen'!$Q$4:$R$15,2,FALSE)="yes",(VLOOKUP(I6,'gevaarljike stoffen'!$Q$4:$R$15,2,FALSE)="yes"),I25),"DER",I23))))</f>
        <v>NOK</v>
      </c>
      <c r="J24" s="161" t="str">
        <f>IF(J4="all RM",IF(J25,"DER",J23),
IF(J5=0,J23,
IF(J6=0,IF(AND(VLOOKUP(J5,'gevaarljike stoffen'!$Q$4:$R$15,2,FALSE)="yes",J25),"DER",J23),
IF(AND(VLOOKUP(J5,'gevaarljike stoffen'!$Q$4:$R$15,2,FALSE)="yes",(VLOOKUP(J6,'gevaarljike stoffen'!$Q$4:$R$15,2,FALSE)="yes"),J25),"DER",J23))))</f>
        <v>NOK</v>
      </c>
      <c r="K24" s="161" t="str">
        <f>IF(K4="all RM",IF(K25,"DER",K23),
IF(K5=0,K23,
IF(K6=0,IF(AND(VLOOKUP(K5,'gevaarljike stoffen'!$Q$4:$R$15,2,FALSE)="yes",K25),"DER",K23),
IF(AND(VLOOKUP(K5,'gevaarljike stoffen'!$Q$4:$R$15,2,FALSE)="yes",(VLOOKUP(K6,'gevaarljike stoffen'!$Q$4:$R$15,2,FALSE)="yes"),K25),"DER",K23))))</f>
        <v>NOK</v>
      </c>
      <c r="L24" s="161" t="str">
        <f>IF(L4="all RM",IF(L25,"DER",L23),
IF(L5=0,L23,
IF(L6=0,IF(AND(VLOOKUP(L5,'gevaarljike stoffen'!$Q$4:$R$15,2,FALSE)="yes",L25),"DER",L23),
IF(AND(VLOOKUP(L5,'gevaarljike stoffen'!$Q$4:$R$15,2,FALSE)="yes",(VLOOKUP(L6,'gevaarljike stoffen'!$Q$4:$R$15,2,FALSE)="yes"),L25),"DER",L23))))</f>
        <v>NOK</v>
      </c>
      <c r="M24" s="161" t="str">
        <f>IF(M4="all RM",IF(M25,"DER",M23),
IF(M5=0,M23,
IF(M6=0,IF(AND(VLOOKUP(M5,'gevaarljike stoffen'!$Q$4:$R$15,2,FALSE)="yes",M25),"DER",M23),
IF(AND(VLOOKUP(M5,'gevaarljike stoffen'!$Q$4:$R$15,2,FALSE)="yes",(VLOOKUP(M6,'gevaarljike stoffen'!$Q$4:$R$15,2,FALSE)="yes"),M25),"DER",M23))))</f>
        <v>NOK</v>
      </c>
      <c r="N24" s="161" t="str">
        <f>IF(N4="all RM",IF(N25,"DER",N23),
IF(N5=0,N23,
IF(N6=0,IF(AND(VLOOKUP(N5,'gevaarljike stoffen'!$Q$4:$R$15,2,FALSE)="yes",N25),"DER",N23),
IF(AND(VLOOKUP(N5,'gevaarljike stoffen'!$Q$4:$R$15,2,FALSE)="yes",(VLOOKUP(N6,'gevaarljike stoffen'!$Q$4:$R$15,2,FALSE)="yes"),N25),"DER",N23))))</f>
        <v>NOK</v>
      </c>
      <c r="O24" s="161" t="str">
        <f>IF(O4="all RM",IF(O25,"DER",O23),
IF(O5=0,O23,
IF(O6=0,IF(AND(VLOOKUP(O5,'gevaarljike stoffen'!$Q$4:$R$15,2,FALSE)="yes",O25),"DER",O23),
IF(AND(VLOOKUP(O5,'gevaarljike stoffen'!$Q$4:$R$15,2,FALSE)="yes",(VLOOKUP(O6,'gevaarljike stoffen'!$Q$4:$R$15,2,FALSE)="yes"),O25),"DER",O23))))</f>
        <v>NOK</v>
      </c>
      <c r="P24" s="161" t="str">
        <f>IF(P4="all RM",IF(P25,"DER",P23),
IF(P5=0,P23,
IF(P6=0,IF(AND(VLOOKUP(P5,'gevaarljike stoffen'!$Q$4:$R$15,2,FALSE)="yes",P25),"DER",P23),
IF(AND(VLOOKUP(P5,'gevaarljike stoffen'!$Q$4:$R$15,2,FALSE)="yes",(VLOOKUP(P6,'gevaarljike stoffen'!$Q$4:$R$15,2,FALSE)="yes"),P25),"DER",P23))))</f>
        <v>NOK</v>
      </c>
      <c r="Q24" s="161" t="str">
        <f>IF(Q4="all RM",IF(Q25,"DER",Q23),
IF(Q5=0,Q23,
IF(Q6=0,IF(AND(VLOOKUP(Q5,'gevaarljike stoffen'!$Q$4:$R$15,2,FALSE)="yes",Q25),"DER",Q23),
IF(AND(VLOOKUP(Q5,'gevaarljike stoffen'!$Q$4:$R$15,2,FALSE)="yes",(VLOOKUP(Q6,'gevaarljike stoffen'!$Q$4:$R$15,2,FALSE)="yes"),Q25),"DER",Q23))))</f>
        <v>NOK</v>
      </c>
      <c r="R24" s="161" t="str">
        <f>IF(R4="all RM",IF(R25,"DER",R23),
IF(R5=0,R23,
IF(R6=0,IF(AND(VLOOKUP(R5,'gevaarljike stoffen'!$Q$4:$R$15,2,FALSE)="yes",R25),"DER",R23),
IF(AND(VLOOKUP(R5,'gevaarljike stoffen'!$Q$4:$R$15,2,FALSE)="yes",(VLOOKUP(R6,'gevaarljike stoffen'!$Q$4:$R$15,2,FALSE)="yes"),R25),"DER",R23))))</f>
        <v>NOK</v>
      </c>
      <c r="S24" s="161" t="str">
        <f>IF(S4="all RM",IF(S25,"DER",S23),
IF(S5=0,S23,
IF(S6=0,IF(AND(VLOOKUP(S5,'gevaarljike stoffen'!$Q$4:$R$15,2,FALSE)="yes",S25),"DER",S23),
IF(AND(VLOOKUP(S5,'gevaarljike stoffen'!$Q$4:$R$15,2,FALSE)="yes",(VLOOKUP(S6,'gevaarljike stoffen'!$Q$4:$R$15,2,FALSE)="yes"),S25),"DER",S23))))</f>
        <v>NOK</v>
      </c>
      <c r="T24" s="161" t="str">
        <f>IF(T4="all RM",IF(T25,"DER",T23),
IF(T5=0,T23,
IF(T6=0,IF(AND(VLOOKUP(T5,'gevaarljike stoffen'!$Q$4:$R$15,2,FALSE)="yes",T25),"DER",T23),
IF(AND(VLOOKUP(T5,'gevaarljike stoffen'!$Q$4:$R$15,2,FALSE)="yes",(VLOOKUP(T6,'gevaarljike stoffen'!$Q$4:$R$15,2,FALSE)="yes"),T25),"DER",T23))))</f>
        <v>NOK</v>
      </c>
      <c r="U24" s="161" t="str">
        <f>IF(U4="all RM",IF(U25,"DER",U23),
IF(U5=0,U23,
IF(U6=0,IF(AND(VLOOKUP(U5,'gevaarljike stoffen'!$Q$4:$R$15,2,FALSE)="yes",U25),"DER",U23),
IF(AND(VLOOKUP(U5,'gevaarljike stoffen'!$Q$4:$R$15,2,FALSE)="yes",(VLOOKUP(U6,'gevaarljike stoffen'!$Q$4:$R$15,2,FALSE)="yes"),U25),"DER",U23))))</f>
        <v>NOK</v>
      </c>
      <c r="V24" s="161" t="str">
        <f>IF(V4="all RM",IF(V25,"DER",V23),
IF(V5=0,V23,
IF(V6=0,IF(AND(VLOOKUP(V5,'gevaarljike stoffen'!$Q$4:$R$15,2,FALSE)="yes",V25),"DER",V23),
IF(AND(VLOOKUP(V5,'gevaarljike stoffen'!$Q$4:$R$15,2,FALSE)="yes",(VLOOKUP(V6,'gevaarljike stoffen'!$Q$4:$R$15,2,FALSE)="yes"),V25),"DER",V23))))</f>
        <v>NOK</v>
      </c>
      <c r="W24" s="161" t="str">
        <f>IF(W4="all RM",IF(W25,"DER",W23),
IF(W5=0,W23,
IF(W6=0,IF(AND(VLOOKUP(W5,'gevaarljike stoffen'!$Q$4:$R$15,2,FALSE)="yes",W25),"DER",W23),
IF(AND(VLOOKUP(W5,'gevaarljike stoffen'!$Q$4:$R$15,2,FALSE)="yes",(VLOOKUP(W6,'gevaarljike stoffen'!$Q$4:$R$15,2,FALSE)="yes"),W25),"DER",W23))))</f>
        <v>NOK</v>
      </c>
      <c r="X24" s="161" t="str">
        <f>IF(X4="all RM",IF(X25,"DER",X23),
IF(X5=0,X23,
IF(X6=0,IF(AND(VLOOKUP(X5,'gevaarljike stoffen'!$Q$4:$R$15,2,FALSE)="yes",X25),"DER",X23),
IF(AND(VLOOKUP(X5,'gevaarljike stoffen'!$Q$4:$R$15,2,FALSE)="yes",(VLOOKUP(X6,'gevaarljike stoffen'!$Q$4:$R$15,2,FALSE)="yes"),X25),"DER",X23))))</f>
        <v>NOK</v>
      </c>
      <c r="Y24" s="161" t="str">
        <f>IF(Y4="all RM",IF(Y25,"DER",Y23),
IF(Y5=0,Y23,
IF(Y6=0,IF(AND(VLOOKUP(Y5,'gevaarljike stoffen'!$Q$4:$R$15,2,FALSE)="yes",Y25),"DER",Y23),
IF(AND(VLOOKUP(Y5,'gevaarljike stoffen'!$Q$4:$R$15,2,FALSE)="yes",(VLOOKUP(Y6,'gevaarljike stoffen'!$Q$4:$R$15,2,FALSE)="yes"),Y25),"DER",Y23))))</f>
        <v>NOK</v>
      </c>
      <c r="Z24" s="161" t="e">
        <f>IF(Z4="all RM",IF(Z25,"DER",Z23),
IF(Z5=0,Z23,
IF(Z6=0,IF(AND(VLOOKUP(Z5,'gevaarljike stoffen'!$Q$4:$R$15,2,FALSE)="yes",Z25),"DER",Z23),
IF(AND(VLOOKUP(Z5,'gevaarljike stoffen'!$Q$4:$R$15,2,FALSE)="yes",(VLOOKUP(Z6,'gevaarljike stoffen'!$Q$4:$R$15,2,FALSE)="yes"),Z25),"DER",Z23))))</f>
        <v>#N/A</v>
      </c>
      <c r="AA24" s="161" t="str">
        <f>IF(AA4="all RM",IF(AA25,"DER",AA23),
IF(AA5=0,AA23,
IF(AA6=0,IF(AND(VLOOKUP(AA5,'gevaarljike stoffen'!$Q$4:$R$15,2,FALSE)="yes",AA25),"DER",AA23),
IF(AND(VLOOKUP(AA5,'gevaarljike stoffen'!$Q$4:$R$15,2,FALSE)="yes",(VLOOKUP(AA6,'gevaarljike stoffen'!$Q$4:$R$15,2,FALSE)="yes"),AA25),"DER",AA23))))</f>
        <v>NOK</v>
      </c>
      <c r="AB24" s="161" t="str">
        <f>IF(AB4="all RM",IF(AB25,"DER",AB23),
IF(AB5=0,AB23,
IF(AB6=0,IF(AND(VLOOKUP(AB5,'gevaarljike stoffen'!$Q$4:$R$15,2,FALSE)="yes",AB25),"DER",AB23),
IF(AND(VLOOKUP(AB5,'gevaarljike stoffen'!$Q$4:$R$15,2,FALSE)="yes",(VLOOKUP(AB6,'gevaarljike stoffen'!$Q$4:$R$15,2,FALSE)="yes"),AB25),"DER",AB23))))</f>
        <v>NOK</v>
      </c>
      <c r="AC24" s="161" t="str">
        <f>IF(AC4="all RM",IF(AC25,"DER",AC23),
IF(AC5=0,AC23,
IF(AC6=0,IF(AND(VLOOKUP(AC5,'gevaarljike stoffen'!$Q$4:$R$15,2,FALSE)="yes",AC25),"DER",AC23),
IF(AND(VLOOKUP(AC5,'gevaarljike stoffen'!$Q$4:$R$15,2,FALSE)="yes",(VLOOKUP(AC6,'gevaarljike stoffen'!$Q$4:$R$15,2,FALSE)="yes"),AC25),"DER",AC23))))</f>
        <v>NOK</v>
      </c>
      <c r="AD24" s="161" t="str">
        <f>IF(AD4="all RM",IF(AD25,"DER",AD23),
IF(AD5=0,AD23,
IF(AD6=0,IF(AND(VLOOKUP(AD5,'gevaarljike stoffen'!$Q$4:$R$15,2,FALSE)="yes",AD25),"DER",AD23),
IF(AND(VLOOKUP(AD5,'gevaarljike stoffen'!$Q$4:$R$15,2,FALSE)="yes",(VLOOKUP(AD6,'gevaarljike stoffen'!$Q$4:$R$15,2,FALSE)="yes"),AD25),"DER",AD23))))</f>
        <v>NOK</v>
      </c>
      <c r="AE24" s="161" t="str">
        <f>IF(AE4="all RM",IF(AE25,"DER",AE23),
IF(AE5=0,AE23,
IF(AE6=0,IF(AND(VLOOKUP(AE5,'gevaarljike stoffen'!$Q$4:$R$15,2,FALSE)="yes",AE25),"DER",AE23),
IF(AND(VLOOKUP(AE5,'gevaarljike stoffen'!$Q$4:$R$15,2,FALSE)="yes",(VLOOKUP(AE6,'gevaarljike stoffen'!$Q$4:$R$15,2,FALSE)="yes"),AE25),"DER",AE23))))</f>
        <v>NOK</v>
      </c>
      <c r="AF24" s="161" t="str">
        <f>IF(AF4="all RM",IF(AF25,"DER",AF23),
IF(AF5=0,AF23,
IF(AF6=0,IF(AND(VLOOKUP(AF5,'gevaarljike stoffen'!$Q$4:$R$15,2,FALSE)="yes",AF25),"DER",AF23),
IF(AND(VLOOKUP(AF5,'gevaarljike stoffen'!$Q$4:$R$15,2,FALSE)="yes",(VLOOKUP(AF6,'gevaarljike stoffen'!$Q$4:$R$15,2,FALSE)="yes"),AF25),"DER",AF23))))</f>
        <v>NOK</v>
      </c>
      <c r="AG24" s="161" t="e">
        <f>IF(AG4="all RM",IF(AG25,"DER",AG23),
IF(AG5=0,AG23,
IF(AG6=0,IF(AND(VLOOKUP(AG5,'gevaarljike stoffen'!$Q$4:$R$15,2,FALSE)="yes",AG25),"DER",AG23),
IF(AND(VLOOKUP(AG5,'gevaarljike stoffen'!$Q$4:$R$15,2,FALSE)="yes",(VLOOKUP(AG6,'gevaarljike stoffen'!$Q$4:$R$15,2,FALSE)="yes"),AG25),"DER",AG23))))</f>
        <v>#N/A</v>
      </c>
      <c r="AH24" s="161" t="e">
        <f>IF('gevaarljike stoffen'!A11='Physical state'!B4,
IF(AH4="all RM",IF(AH25,"DER",AH23),
IF(AH5=0,AH23,
IF(AH6=0,IF(AND(VLOOKUP(AH5,'gevaarljike stoffen'!$Q$4:$R$15,2,FALSE)="yes",AH25),"DER",AH23),
IF(AND(VLOOKUP(AH5,'gevaarljike stoffen'!$Q$4:$R$15,2,FALSE)="yes",(VLOOKUP(AH6,'gevaarljike stoffen'!$Q$4:$R$15,2,FALSE)="yes"),AH25),"DER",AH23)))),
IF('gevaarljike stoffen'!A11='Physical state'!B6,
IF(AH4="all RM",IF(AH25,"DER",AH23),
IF(AH5=0,AH23,
IF(AH6=0,IF(AND(VLOOKUP(AH5,'gevaarljike stoffen'!$Q$4:$R$15,2,FALSE)="yes",AI25),"DER",AH23),
IF(AND(VLOOKUP(AH5,'gevaarljike stoffen'!$Q$4:$R$15,2,FALSE)="yes",(VLOOKUP(AH6,'gevaarljike stoffen'!$Q$4:$R$15,2,FALSE)="yes"),AI25),"DER",AH23)))),AH23))</f>
        <v>#N/A</v>
      </c>
      <c r="AI24" s="161" t="e">
        <f>IF(AI4="all RM",IF(AI25,"DER",AI23),
IF(AI5=0,AI23,
IF(AI6=0,IF(AND(VLOOKUP(AI5,'gevaarljike stoffen'!$Q$4:$R$15,2,FALSE)="yes",AI25),"DER",AI23),
IF(AND(VLOOKUP(AI5,'gevaarljike stoffen'!$Q$4:$R$15,2,FALSE)="yes",(VLOOKUP(AI6,'gevaarljike stoffen'!$Q$4:$R$15,2,FALSE)="yes"),AI25),"DER",AI23))))</f>
        <v>#N/A</v>
      </c>
      <c r="AJ24" s="161" t="str">
        <f>IF(AJ4="all RM",IF(AJ25,"DER",AJ23),
IF(AJ5=0,AJ23,
IF(AJ6=0,IF(AND(VLOOKUP(AJ5,'gevaarljike stoffen'!$Q$4:$R$15,2,FALSE)="yes",AJ25),"DER",AJ23),
IF(AND(VLOOKUP(AJ5,'gevaarljike stoffen'!$Q$4:$R$15,2,FALSE)="yes",(VLOOKUP(AJ6,'gevaarljike stoffen'!$Q$4:$R$15,2,FALSE)="yes"),AJ25),"DER",AJ23))))</f>
        <v>NOK</v>
      </c>
      <c r="AK24" s="161" t="str">
        <f>IF(AK4="all RM",IF(AK25,"DER",AK23),
IF(AK5=0,AK23,
IF(AK6=0,IF(AND(VLOOKUP(AK5,'gevaarljike stoffen'!$Q$4:$R$15,2,FALSE)="yes",AK25),"DER",AK23),
IF(AND(VLOOKUP(AK5,'gevaarljike stoffen'!$Q$4:$R$15,2,FALSE)="yes",(VLOOKUP(AK6,'gevaarljike stoffen'!$Q$4:$R$15,2,FALSE)="yes"),AK25),"DER",AK23))))</f>
        <v>NOK</v>
      </c>
      <c r="AL24" s="161" t="str">
        <f>IF(AL4="all RM",IF(AL25,"DER",AL23),
IF(AL5=0,AL23,
IF(AL6=0,IF(AND(VLOOKUP(AL5,'gevaarljike stoffen'!$Q$4:$R$15,2,FALSE)="yes",AL25),"DER",AL23),
IF(AND(VLOOKUP(AL5,'gevaarljike stoffen'!$Q$4:$R$15,2,FALSE)="yes",(VLOOKUP(AL6,'gevaarljike stoffen'!$Q$4:$R$15,2,FALSE)="yes"),AL25),"DER",AL23))))</f>
        <v>DERPO</v>
      </c>
      <c r="AM24" s="161" t="str">
        <f>IF(AM4="all RM",IF(AM25,"DER",AM23),
IF(AM5=0,AM23,
IF(AM6=0,IF(AND(VLOOKUP(AM5,'gevaarljike stoffen'!$Q$4:$R$15,2,FALSE)="yes",AM25),"DER",AM23),
IF(AND(VLOOKUP(AM5,'gevaarljike stoffen'!$Q$4:$R$15,2,FALSE)="yes",(VLOOKUP(AM6,'gevaarljike stoffen'!$Q$4:$R$15,2,FALSE)="yes"),AM25),"DER",AM23))))</f>
        <v>NOK</v>
      </c>
      <c r="AN24" s="161" t="str">
        <f>IF(AN4="all RM",IF(AN25,"DER",AN23),
IF(AN5=0,AN23,
IF(AN6=0,IF(AND(VLOOKUP(AN5,'gevaarljike stoffen'!$Q$4:$R$15,2,FALSE)="yes",AN25),"DER",AN23),
IF(AND(VLOOKUP(AN5,'gevaarljike stoffen'!$Q$4:$R$15,2,FALSE)="yes",(VLOOKUP(AN6,'gevaarljike stoffen'!$Q$4:$R$15,2,FALSE)="yes"),AN25),"DER",AN23))))</f>
        <v>NOK</v>
      </c>
      <c r="AO24" s="161" t="str">
        <f>IF(AO4="all RM",IF(AO25,"DER",AO23),
IF(AO5=0,AO23,
IF(AO6=0,IF(AND(VLOOKUP(AO5,'gevaarljike stoffen'!$Q$4:$R$15,2,FALSE)="yes",AO25),"DER",AO23),
IF(AND(VLOOKUP(AO5,'gevaarljike stoffen'!$Q$4:$R$15,2,FALSE)="yes",(VLOOKUP(AO6,'gevaarljike stoffen'!$Q$4:$R$15,2,FALSE)="yes"),AO25),"DER",AO23))))</f>
        <v>DERPO</v>
      </c>
      <c r="AP24" s="161" t="str">
        <f>IF(AP4="all RM",IF(AP25,"DER",AP23),
IF(AP5=0,AP23,
IF(AP6=0,IF(AND(VLOOKUP(AP5,'gevaarljike stoffen'!$Q$4:$R$15,2,FALSE)="yes",AP25),"DER",AP23),
IF(AND(VLOOKUP(AP5,'gevaarljike stoffen'!$Q$4:$R$15,2,FALSE)="yes",(VLOOKUP(AP6,'gevaarljike stoffen'!$Q$4:$R$15,2,FALSE)="yes"),AP25),"DER",AP23))))</f>
        <v>NOK</v>
      </c>
      <c r="AQ24" s="161" t="str">
        <f>IF(AQ4="all RM",IF(AQ25,"DER",AQ23),
IF(AQ5=0,AQ23,
IF(AQ6=0,IF(AND(VLOOKUP(AQ5,'gevaarljike stoffen'!$Q$4:$R$15,2,FALSE)="yes",AQ25),"DER",AQ23),
IF(AND(VLOOKUP(AQ5,'gevaarljike stoffen'!$Q$4:$R$15,2,FALSE)="yes",(VLOOKUP(AQ6,'gevaarljike stoffen'!$Q$4:$R$15,2,FALSE)="yes"),AQ25),"DER",AQ23))))</f>
        <v>NOK</v>
      </c>
      <c r="AR24" s="161" t="str">
        <f>IF(AR4="all RM",IF(AR25,"DER",AR23),
IF(AR5=0,AR23,
IF(AR6=0,IF(AND(VLOOKUP(AR5,'gevaarljike stoffen'!$Q$4:$R$15,2,FALSE)="yes",AR25),"DER",AR23),
IF(AND(VLOOKUP(AR5,'gevaarljike stoffen'!$Q$4:$R$15,2,FALSE)="yes",(VLOOKUP(AR6,'gevaarljike stoffen'!$Q$4:$R$15,2,FALSE)="yes"),AR25),"DER",AR23))))</f>
        <v>NOK</v>
      </c>
      <c r="AS24" s="161" t="e">
        <f>IF(AS4="all RM",IF(AS25,"DER",AS23),
IF(AS5=0,AS23,
IF(AS6=0,IF(AND(VLOOKUP(AS5,'gevaarljike stoffen'!$Q$4:$R$15,2,FALSE)="yes",AS25),"DER",AS23),
IF(AND(VLOOKUP(AS5,'gevaarljike stoffen'!$Q$4:$R$15,2,FALSE)="yes",(VLOOKUP(AS6,'gevaarljike stoffen'!$Q$4:$R$15,2,FALSE)="yes"),AS25),"DER",AS23))))</f>
        <v>#N/A</v>
      </c>
      <c r="AT24" s="161" t="str">
        <f>IF(AT4="all RM",IF(AT25,"DER",AT23),
IF(AT5=0,AT23,
IF(AT6=0,IF(AND(VLOOKUP(AT5,'gevaarljike stoffen'!$Q$4:$R$15,2,FALSE)="yes",AT25),"DER",AT23),
IF(AND(VLOOKUP(AT5,'gevaarljike stoffen'!$Q$4:$R$15,2,FALSE)="yes",(VLOOKUP(AT6,'gevaarljike stoffen'!$Q$4:$R$15,2,FALSE)="yes"),AT25),"DER",AT23))))</f>
        <v>NOK</v>
      </c>
      <c r="AU24" s="161" t="str">
        <f>IF(AU4="all RM",IF(AU25,"DER",AU23),
IF(AU5=0,AU23,
IF(AU6=0,IF(AND(VLOOKUP(AU5,'gevaarljike stoffen'!$Q$4:$R$15,2,FALSE)="yes",AU25),"DER",AU23),
IF(AND(VLOOKUP(AU5,'gevaarljike stoffen'!$Q$4:$R$15,2,FALSE)="yes",(VLOOKUP(AU6,'gevaarljike stoffen'!$Q$4:$R$15,2,FALSE)="yes"),AU25),"DER",AU23))))</f>
        <v>NOK</v>
      </c>
      <c r="AV24" s="161" t="str">
        <f>IF(AV4="all RM",IF(AV25,"DER",AV23),
IF(AV5=0,AV23,
IF(AV6=0,IF(AND(VLOOKUP(AV5,'gevaarljike stoffen'!$Q$4:$R$15,2,FALSE)="yes",AV25),"DER",AV23),
IF(AND(VLOOKUP(AV5,'gevaarljike stoffen'!$Q$4:$R$15,2,FALSE)="yes",(VLOOKUP(AV6,'gevaarljike stoffen'!$Q$4:$R$15,2,FALSE)="yes"),AV25),"DER",AV23))))</f>
        <v>NOK</v>
      </c>
      <c r="AW24" s="161" t="str">
        <f>IF(AW4="all RM",IF(AW25,"DER",AW23),
IF(AW5=0,AW23,
IF(AW6=0,IF(AND(VLOOKUP(AW5,'gevaarljike stoffen'!$Q$4:$R$15,2,FALSE)="yes",AW25),"DER",AW23),
IF(AND(VLOOKUP(AW5,'gevaarljike stoffen'!$Q$4:$R$15,2,FALSE)="yes",(VLOOKUP(AW6,'gevaarljike stoffen'!$Q$4:$R$15,2,FALSE)="yes"),AW25),"DER",AW23))))</f>
        <v>NOK</v>
      </c>
      <c r="AX24" s="161" t="str">
        <f>IF(AX4="all RM",IF(AX25,"DER",AX23),
IF(AX5=0,AX23,
IF(AX6=0,IF(AND(VLOOKUP(AX5,'gevaarljike stoffen'!$Q$4:$R$15,2,FALSE)="yes",AX25),"DER",AX23),
IF(AND(VLOOKUP(AX5,'gevaarljike stoffen'!$Q$4:$R$15,2,FALSE)="yes",(VLOOKUP(AX6,'gevaarljike stoffen'!$Q$4:$R$15,2,FALSE)="yes"),AX25),"DER",AX23))))</f>
        <v>NOK</v>
      </c>
      <c r="AY24" s="161" t="str">
        <f>IF(AY4="all RM",IF(AY25,"DER",AY23),
IF(AY5=0,AY23,
IF(AY6=0,IF(AND(VLOOKUP(AY5,'gevaarljike stoffen'!$Q$4:$R$15,2,FALSE)="yes",AY25),"DER",AY23),
IF(AND(VLOOKUP(AY5,'gevaarljike stoffen'!$Q$4:$R$15,2,FALSE)="yes",(VLOOKUP(AY6,'gevaarljike stoffen'!$Q$4:$R$15,2,FALSE)="yes"),AY25),"DER",AY23))))</f>
        <v>NOK</v>
      </c>
      <c r="AZ24" s="161" t="str">
        <f>IF(AZ4="all RM",IF(AZ25,"DER",AZ23),
IF(AZ5=0,AZ23,
IF(AZ6=0,IF(AND(VLOOKUP(AZ5,'gevaarljike stoffen'!$Q$4:$R$15,2,FALSE)="yes",AZ25),"DER",AZ23),
IF(AND(VLOOKUP(AZ5,'gevaarljike stoffen'!$Q$4:$R$15,2,FALSE)="yes",(VLOOKUP(AZ6,'gevaarljike stoffen'!$Q$4:$R$15,2,FALSE)="yes"),AZ25),"DER",AZ23))))</f>
        <v>NOK</v>
      </c>
      <c r="BA24" s="161" t="str">
        <f>IF(BA4="all RM",IF(BA25,"DER",BA23),
IF(BA5=0,BA23,
IF(BA6=0,IF(AND(VLOOKUP(BA5,'gevaarljike stoffen'!$Q$4:$R$15,2,FALSE)="yes",BA25),"DER",BA23),
IF(AND(VLOOKUP(BA5,'gevaarljike stoffen'!$Q$4:$R$15,2,FALSE)="yes",(VLOOKUP(BA6,'gevaarljike stoffen'!$Q$4:$R$15,2,FALSE)="yes"),BA25),"DER",BA23))))</f>
        <v>NOK</v>
      </c>
      <c r="BB24" s="161" t="e">
        <f>IF(BB4="all RM",IF(BB25,"DER",BB23),
IF(BB5=0,BB23,
IF(BB6=0,IF(AND(VLOOKUP(BB5,'gevaarljike stoffen'!$Q$4:$R$15,2,FALSE)="yes",BB25),"DER",BB23),
IF(AND(VLOOKUP(BB5,'gevaarljike stoffen'!$Q$4:$R$15,2,FALSE)="yes",(VLOOKUP(BB6,'gevaarljike stoffen'!$Q$4:$R$15,2,FALSE)="yes"),BB25),"DER",BB23))))</f>
        <v>#N/A</v>
      </c>
      <c r="BC24" s="161" t="str">
        <f>IF(BC4="all RM",IF(BC25,"DER",BC23),
IF(BC5=0,BC23,
IF(BC6=0,IF(AND(VLOOKUP(BC5,'gevaarljike stoffen'!$Q$4:$R$15,2,FALSE)="yes",BC25),"DER",BC23),
IF(AND(VLOOKUP(BC5,'gevaarljike stoffen'!$Q$4:$R$15,2,FALSE)="yes",(VLOOKUP(BC6,'gevaarljike stoffen'!$Q$4:$R$15,2,FALSE)="yes"),BC25),"DER",BC23))))</f>
        <v>DERPO</v>
      </c>
      <c r="BD24" s="161" t="str">
        <f>IF(BD4="all RM",IF(BD25,"DER",BD23),
IF(BD5=0,BD23,
IF(BD6=0,IF(AND(VLOOKUP(BD5,'gevaarljike stoffen'!$Q$4:$R$15,2,FALSE)="yes",BD25),"DER",BD23),
IF(AND(VLOOKUP(BD5,'gevaarljike stoffen'!$Q$4:$R$15,2,FALSE)="yes",(VLOOKUP(BD6,'gevaarljike stoffen'!$Q$4:$R$15,2,FALSE)="yes"),BD25),"DER",BD23))))</f>
        <v>DERPO</v>
      </c>
      <c r="BE24" s="161" t="str">
        <f>IF(BE4="all RM",IF(BE25,"DER",BE23),
IF(BE5=0,BE23,
IF(BE6=0,IF(AND(VLOOKUP(BE5,'gevaarljike stoffen'!$Q$4:$R$15,2,FALSE)="yes",BE25),"DER",BE23),
IF(AND(VLOOKUP(BE5,'gevaarljike stoffen'!$Q$4:$R$15,2,FALSE)="yes",(VLOOKUP(BE6,'gevaarljike stoffen'!$Q$4:$R$15,2,FALSE)="yes"),BE25),"DER",BE23))))</f>
        <v>DERPO</v>
      </c>
      <c r="BF24" s="161" t="str">
        <f>IF(BF4="all RM",IF(BF25,"DER",BF23),
IF(BF5=0,BF23,
IF(BF6=0,IF(AND(VLOOKUP(BF5,'gevaarljike stoffen'!$Q$4:$R$15,2,FALSE)="yes",BF25),"DER",BF23),
IF(AND(VLOOKUP(BF5,'gevaarljike stoffen'!$Q$4:$R$15,2,FALSE)="yes",(VLOOKUP(BF6,'gevaarljike stoffen'!$Q$4:$R$15,2,FALSE)="yes"),BF25),"DER",BF23))))</f>
        <v>NOK</v>
      </c>
      <c r="BG24" s="161" t="str">
        <f>IF(BG4="all RM",IF(BG25,"DER",BG23),
IF(BG5=0,BG23,
IF(BG6=0,IF(AND(VLOOKUP(BG5,'gevaarljike stoffen'!$Q$4:$R$15,2,FALSE)="yes",BG25),"DER",BG23),
IF(AND(VLOOKUP(BG5,'gevaarljike stoffen'!$Q$4:$R$15,2,FALSE)="yes",(VLOOKUP(BG6,'gevaarljike stoffen'!$Q$4:$R$15,2,FALSE)="yes"),BG25),"DER",BG23))))</f>
        <v>DERPO</v>
      </c>
      <c r="BH24" s="161" t="e">
        <f>IF(BH4="all RM",IF(BH25,"DER",BH23),
IF(BH5=0,BH23,
IF(BH6=0,IF(AND(VLOOKUP(BH5,'gevaarljike stoffen'!$Q$4:$R$15,2,FALSE)="yes",BH25),"DER",BH23),
IF(AND(VLOOKUP(BH5,'gevaarljike stoffen'!$Q$4:$R$15,2,FALSE)="yes",(VLOOKUP(BH6,'gevaarljike stoffen'!$Q$4:$R$15,2,FALSE)="yes"),BH25),"DER",BH23))))</f>
        <v>#N/A</v>
      </c>
      <c r="BI24" s="161" t="str">
        <f>IF(BI4="all RM",IF(BI25,"DER",BI23),
IF(BI5=0,BI23,
IF(BI6=0,IF(AND(VLOOKUP(BI5,'gevaarljike stoffen'!$Q$4:$R$15,2,FALSE)="yes",BI25),"DER",BI23),
IF(AND(VLOOKUP(BI5,'gevaarljike stoffen'!$Q$4:$R$15,2,FALSE)="yes",(VLOOKUP(BI6,'gevaarljike stoffen'!$Q$4:$R$15,2,FALSE)="yes"),BI25),"DER",BI23))))</f>
        <v>DERPO</v>
      </c>
      <c r="BJ24" s="161">
        <f>IF(BJ4="all RM",IF(BJ25,"DER",BJ23),
IF(BJ5=0,BJ23,
IF(BJ6=0,IF(AND(VLOOKUP(BJ5,'gevaarljike stoffen'!$Q$4:$R$15,2,FALSE)="yes",BJ25),"DER",BJ23),
IF(AND(VLOOKUP(BJ5,'gevaarljike stoffen'!$Q$4:$R$15,2,FALSE)="yes",(VLOOKUP(BJ6,'gevaarljike stoffen'!$Q$4:$R$15,2,FALSE)="yes"),BJ25),"DER",BJ23))))</f>
        <v>0</v>
      </c>
      <c r="BK24" s="161" t="str">
        <f>IF(BK4="all RM",IF(BK25,"DER",BK23),
IF(BK5=0,BK23,
IF(BK6=0,IF(AND(VLOOKUP(BK5,'gevaarljike stoffen'!$Q$4:$R$15,2,FALSE)="yes",BK25),"DER",BK23),
IF(AND(VLOOKUP(BK5,'gevaarljike stoffen'!$Q$4:$R$15,2,FALSE)="yes",(VLOOKUP(BK6,'gevaarljike stoffen'!$Q$4:$R$15,2,FALSE)="yes"),BK25),"DER",BK23))))</f>
        <v>NOK</v>
      </c>
      <c r="BL24" s="161" t="str">
        <f>IF(BL4="all RM",IF(BL25,"DER",BL23),
IF(BL5=0,BL23,
IF(BL6=0,IF(AND(VLOOKUP(BL5,'gevaarljike stoffen'!$Q$4:$R$15,2,FALSE)="yes",BL25),"DER",BL23),
IF(AND(VLOOKUP(BL5,'gevaarljike stoffen'!$Q$4:$R$15,2,FALSE)="yes",(VLOOKUP(BL6,'gevaarljike stoffen'!$Q$4:$R$15,2,FALSE)="yes"),BL25),"DER",BL23))))</f>
        <v>NOK</v>
      </c>
      <c r="BM24" s="161" t="str">
        <f>IF(BM4="all RM",IF(BM25,"DER",BM23),
IF(BM5=0,BM23,
IF(BM6=0,IF(AND(VLOOKUP(BM5,'gevaarljike stoffen'!$Q$4:$R$15,2,FALSE)="yes",BM25),"DER",BM23),
IF(AND(VLOOKUP(BM5,'gevaarljike stoffen'!$Q$4:$R$15,2,FALSE)="yes",(VLOOKUP(BM6,'gevaarljike stoffen'!$Q$4:$R$15,2,FALSE)="yes"),BM25),"DER",BM23))))</f>
        <v>NOK</v>
      </c>
      <c r="BN24" s="161" t="str">
        <f>IF(BN4="all RM",IF(BN25,"DER",BN23),
IF(BN5=0,BN23,
IF(BN6=0,IF(AND(VLOOKUP(BN5,'gevaarljike stoffen'!$Q$4:$R$15,2,FALSE)="yes",BN25),"DER",BN23),
IF(AND(VLOOKUP(BN5,'gevaarljike stoffen'!$Q$4:$R$15,2,FALSE)="yes",(VLOOKUP(BN6,'gevaarljike stoffen'!$Q$4:$R$15,2,FALSE)="yes"),BN25),"DER",BN23))))</f>
        <v>NOK</v>
      </c>
      <c r="BO24" s="161" t="str">
        <f>IF(BO4="all RM",IF(BO25,"DER",BO23),
IF(BO5=0,BO23,
IF(BO6=0,IF(AND(VLOOKUP(BO5,'gevaarljike stoffen'!$Q$4:$R$15,2,FALSE)="yes",BO25),"DER",BO23),
IF(AND(VLOOKUP(BO5,'gevaarljike stoffen'!$Q$4:$R$15,2,FALSE)="yes",(VLOOKUP(BO6,'gevaarljike stoffen'!$Q$4:$R$15,2,FALSE)="yes"),BO25),"DER",BO23))))</f>
        <v>NOK</v>
      </c>
      <c r="BP24" s="161" t="str">
        <f>IF(BP4="all RM",IF(BP25,"DER",BP23),
IF(BP5=0,BP23,
IF(BP6=0,IF(AND(VLOOKUP(BP5,'gevaarljike stoffen'!$Q$4:$R$15,2,FALSE)="yes",BP25),"DER",BP23),
IF(AND(VLOOKUP(BP5,'gevaarljike stoffen'!$Q$4:$R$15,2,FALSE)="yes",(VLOOKUP(BP6,'gevaarljike stoffen'!$Q$4:$R$15,2,FALSE)="yes"),BP25),"DER",BP23))))</f>
        <v>NOK</v>
      </c>
      <c r="BQ24" s="161" t="e">
        <f>IF(BQ4="all RM",IF(BQ25,"DER",BQ23),
IF(BQ5=0,BQ23,
IF(BQ6=0,IF(AND(VLOOKUP(BQ5,'gevaarljike stoffen'!$Q$4:$R$15,2,FALSE)="yes",BQ25),"DER",BQ23),
IF(AND(VLOOKUP(BQ5,'gevaarljike stoffen'!$Q$4:$R$15,2,FALSE)="yes",(VLOOKUP(BQ6,'gevaarljike stoffen'!$Q$4:$R$15,2,FALSE)="yes"),BQ25),"DER",BQ23))))</f>
        <v>#N/A</v>
      </c>
      <c r="BR24" s="161" t="str">
        <f>IF(BR4="all RM",IF(BR25,"DER",BR23),
IF(BR5=0,BR23,
IF(BR6=0,IF(AND(VLOOKUP(BR5,'gevaarljike stoffen'!$Q$4:$R$15,2,FALSE)="yes",BR25),"DER",BR23),
IF(AND(VLOOKUP(BR5,'gevaarljike stoffen'!$Q$4:$R$15,2,FALSE)="yes",(VLOOKUP(BR6,'gevaarljike stoffen'!$Q$4:$R$15,2,FALSE)="yes"),BR25),"DER",BR23))))</f>
        <v>NOK</v>
      </c>
      <c r="BS24" s="161" t="str">
        <f>IF(BS4="all RM",IF(BS25,"DER",BS23),
IF(BS5=0,BS23,
IF(BS6=0,IF(AND(VLOOKUP(BS5,'gevaarljike stoffen'!$Q$4:$R$15,2,FALSE)="yes",BS25),"DER",BS23),
IF(AND(VLOOKUP(BS5,'gevaarljike stoffen'!$Q$4:$R$15,2,FALSE)="yes",(VLOOKUP(BS6,'gevaarljike stoffen'!$Q$4:$R$15,2,FALSE)="yes"),BS25),"DER",BS23))))</f>
        <v>NOK</v>
      </c>
      <c r="BT24" s="161" t="e">
        <f>IF(BT4="all RM",IF(BT25,"DER",BT23),
IF(BT5=0,BT23,
IF(BT6=0,IF(AND(VLOOKUP(BT5,'gevaarljike stoffen'!$Q$4:$R$15,2,FALSE)="yes",BT25),"DER",BT23),
IF(AND(VLOOKUP(BT5,'gevaarljike stoffen'!$Q$4:$R$15,2,FALSE)="yes",(VLOOKUP(BT6,'gevaarljike stoffen'!$Q$4:$R$15,2,FALSE)="yes"),BT25),"DER",BT23))))</f>
        <v>#N/A</v>
      </c>
      <c r="BU24" s="161" t="str">
        <f>IF(BU4="all RM",IF(BU25,"DER",BU23),
IF(BU5=0,BU23,
IF(BU6=0,IF(AND(VLOOKUP(BU5,'gevaarljike stoffen'!$Q$4:$R$15,2,FALSE)="yes",BU25),"DER",BU23),
IF(AND(VLOOKUP(BU5,'gevaarljike stoffen'!$Q$4:$R$15,2,FALSE)="yes",(VLOOKUP(BU6,'gevaarljike stoffen'!$Q$4:$R$15,2,FALSE)="yes"),BU25),"DER",BU23))))</f>
        <v>NOK</v>
      </c>
      <c r="BV24" s="161" t="str">
        <f>IF(BV4="all RM",IF(BV25,"DER",BV23),
IF(BV5=0,BV23,
IF(BV6=0,IF(AND(VLOOKUP(BV5,'gevaarljike stoffen'!$Q$4:$R$15,2,FALSE)="yes",BV25),"DER",BV23),
IF(AND(VLOOKUP(BV5,'gevaarljike stoffen'!$Q$4:$R$15,2,FALSE)="yes",(VLOOKUP(BV6,'gevaarljike stoffen'!$Q$4:$R$15,2,FALSE)="yes"),BV25),"DER",BV23))))</f>
        <v>NOK</v>
      </c>
      <c r="BW24" s="161" t="str">
        <f>IF(BW4="all RM",IF(BW25,"DER",BW23),
IF(BW5=0,BW23,
IF(BW6=0,IF(AND(VLOOKUP(BW5,'gevaarljike stoffen'!$Q$4:$R$15,2,FALSE)="yes",BW25),"DER",BW23),
IF(AND(VLOOKUP(BW5,'gevaarljike stoffen'!$Q$4:$R$15,2,FALSE)="yes",(VLOOKUP(BW6,'gevaarljike stoffen'!$Q$4:$R$15,2,FALSE)="yes"),BW25),"DER",BW23))))</f>
        <v>NOK</v>
      </c>
      <c r="BX24" s="161" t="str">
        <f>IF(BX4="all RM",IF(BX25,"DER",BX23),
IF(BX5=0,BX23,
IF(BX6=0,IF(AND(VLOOKUP(BX5,'gevaarljike stoffen'!$Q$4:$R$15,2,FALSE)="yes",BX25),"DER",BX23),
IF(AND(VLOOKUP(BX5,'gevaarljike stoffen'!$Q$4:$R$15,2,FALSE)="yes",(VLOOKUP(BX6,'gevaarljike stoffen'!$Q$4:$R$15,2,FALSE)="yes"),BX25),"DER",BX23))))</f>
        <v>NOK</v>
      </c>
      <c r="BY24" s="161" t="str">
        <f>IF(BY4="all RM",IF(BY25,"DER",BY23),
IF(BY5=0,BY23,
IF(BY6=0,IF(AND(VLOOKUP(BY5,'gevaarljike stoffen'!$Q$4:$R$15,2,FALSE)="yes",BY25),"DER",BY23),
IF(AND(VLOOKUP(BY5,'gevaarljike stoffen'!$Q$4:$R$15,2,FALSE)="yes",(VLOOKUP(BY6,'gevaarljike stoffen'!$Q$4:$R$15,2,FALSE)="yes"),BY25),"DER",BY23))))</f>
        <v>NOK</v>
      </c>
      <c r="BZ24" s="161" t="str">
        <f>IF(BZ4="all RM",IF(BZ25,"DER",BZ23),
IF(BZ5=0,BZ23,
IF(BZ6=0,IF(AND(VLOOKUP(BZ5,'gevaarljike stoffen'!$Q$4:$R$15,2,FALSE)="yes",BZ25),"DER",BZ23),
IF(AND(VLOOKUP(BZ5,'gevaarljike stoffen'!$Q$4:$R$15,2,FALSE)="yes",(VLOOKUP(BZ6,'gevaarljike stoffen'!$Q$4:$R$15,2,FALSE)="yes"),BZ25),"DER",BZ23))))</f>
        <v>NOK</v>
      </c>
      <c r="CA24" s="161" t="str">
        <f>IF(CA4="all RM",IF(CA25,"DER",CA23),
IF(CA5=0,CA23,
IF(CA6=0,IF(AND(VLOOKUP(CA5,'gevaarljike stoffen'!$Q$4:$R$15,2,FALSE)="yes",CA25),"DER",CA23),
IF(AND(VLOOKUP(CA5,'gevaarljike stoffen'!$Q$4:$R$15,2,FALSE)="yes",(VLOOKUP(CA6,'gevaarljike stoffen'!$Q$4:$R$15,2,FALSE)="yes"),CA25),"DER",CA23))))</f>
        <v>NOK</v>
      </c>
      <c r="CB24" s="221"/>
      <c r="CC24" s="161" t="str">
        <f>IF(CC4="all RM",IF(CC25,"DER",CC23),
IF(CC5=0,CC23,
IF(CC6=0,IF(AND(VLOOKUP(CC5,'gevaarljike stoffen'!$Q$4:$R$15,2,FALSE)="yes",CC25),"DER",CC23),
IF(AND(VLOOKUP(CC5,'gevaarljike stoffen'!$Q$4:$R$15,2,FALSE)="yes",(VLOOKUP(CC6,'gevaarljike stoffen'!$Q$4:$R$15,2,FALSE)="yes"),CC25),"DER",CC23))))</f>
        <v>DER</v>
      </c>
      <c r="CD24" s="161" t="str">
        <f>IF(CD4="all RM",IF(CD25,"DER",CD23),
IF(CD5=0,CD23,
IF(CD6=0,IF(AND(VLOOKUP(CD5,'gevaarljike stoffen'!$Q$4:$R$15,2,FALSE)="yes",CD25),"DER",CD23),
IF(AND(VLOOKUP(CD5,'gevaarljike stoffen'!$Q$4:$R$15,2,FALSE)="yes",(VLOOKUP(CD6,'gevaarljike stoffen'!$Q$4:$R$15,2,FALSE)="yes"),CD25),"DER",CD23))))</f>
        <v>DER</v>
      </c>
      <c r="CE24" s="161" t="str">
        <f>IF(CE4="all RM",IF(CE25,"DER",CE23),
IF(CE5=0,CE23,
IF(CE6=0,IF(AND(VLOOKUP(CE5,'gevaarljike stoffen'!$Q$4:$R$15,2,FALSE)="yes",CE25),"DER",CE23),
IF(AND(VLOOKUP(CE5,'gevaarljike stoffen'!$Q$4:$R$15,2,FALSE)="yes",(VLOOKUP(CE6,'gevaarljike stoffen'!$Q$4:$R$15,2,FALSE)="yes"),CE25),"DER",CE23))))</f>
        <v>DER</v>
      </c>
      <c r="CF24" s="161" t="str">
        <f>IF(CF4="all RM",IF(CF25,"DER",CF23),
IF(CF5=0,CF23,
IF(CF6=0,IF(AND(VLOOKUP(CF5,'gevaarljike stoffen'!$Q$4:$R$15,2,FALSE)="yes",CF25),"DER",CF23),
IF(AND(VLOOKUP(CF5,'gevaarljike stoffen'!$Q$4:$R$15,2,FALSE)="yes",(VLOOKUP(CF6,'gevaarljike stoffen'!$Q$4:$R$15,2,FALSE)="yes"),CF25),"DER",CF23))))</f>
        <v>DER</v>
      </c>
      <c r="CG24" s="161" t="str">
        <f>IF(CG4="all RM",IF(CG25,"DER",CG23),
IF(CG5=0,CG23,
IF(CG6=0,IF(AND(VLOOKUP(CG5,'gevaarljike stoffen'!$Q$4:$R$15,2,FALSE)="yes",CG25),"DER",CG23),
IF(AND(VLOOKUP(CG5,'gevaarljike stoffen'!$Q$4:$R$15,2,FALSE)="yes",(VLOOKUP(CG6,'gevaarljike stoffen'!$Q$4:$R$15,2,FALSE)="yes"),CG25),"DER",CG23))))</f>
        <v>DER</v>
      </c>
      <c r="CH24" s="161" t="str">
        <f>IF(CH4="all RM",IF(CH25,"DER",CH23),
IF(CH5=0,CH23,
IF(CH6=0,IF(AND(VLOOKUP(CH5,'gevaarljike stoffen'!$Q$4:$R$15,2,FALSE)="yes",CH25),"DER",CH23),
IF(AND(VLOOKUP(CH5,'gevaarljike stoffen'!$Q$4:$R$15,2,FALSE)="yes",(VLOOKUP(CH6,'gevaarljike stoffen'!$Q$4:$R$15,2,FALSE)="yes"),CH25),"DER",CH23))))</f>
        <v>DER</v>
      </c>
      <c r="CI24" s="161" t="str">
        <f>IF(CI4="all RM",IF(CI25,"DER",CI23),
IF(CI5=0,CI23,
IF(CI6=0,IF(AND(VLOOKUP(CI5,'gevaarljike stoffen'!$Q$4:$R$15,2,FALSE)="yes",CI25),"DER",CI23),
IF(AND(VLOOKUP(CI5,'gevaarljike stoffen'!$Q$4:$R$15,2,FALSE)="yes",(VLOOKUP(CI6,'gevaarljike stoffen'!$Q$4:$R$15,2,FALSE)="yes"),CI25),"DER",CI23))))</f>
        <v>TBA</v>
      </c>
      <c r="CJ24" s="161" t="str">
        <f>IF(CJ4="all RM",IF(CJ25,"DER",CJ23),
IF(CJ5=0,CJ23,
IF(CJ6=0,IF(AND(VLOOKUP(CJ5,'gevaarljike stoffen'!$Q$4:$R$15,2,FALSE)="yes",CJ25),"DER",CJ23),
IF(AND(VLOOKUP(CJ5,'gevaarljike stoffen'!$Q$4:$R$15,2,FALSE)="yes",(VLOOKUP(CJ6,'gevaarljike stoffen'!$Q$4:$R$15,2,FALSE)="yes"),CJ25),"DER",CJ23))))</f>
        <v>TBA</v>
      </c>
      <c r="CK24" s="161" t="str">
        <f>IF(CK4="all RM",IF(CK25,"DER",CK23),
IF(CK5=0,CK23,
IF(CK6=0,IF(AND(VLOOKUP(CK5,'gevaarljike stoffen'!$Q$4:$R$15,2,FALSE)="yes",CK25),"DER",CK23),
IF(AND(VLOOKUP(CK5,'gevaarljike stoffen'!$Q$4:$R$15,2,FALSE)="yes",(VLOOKUP(CK6,'gevaarljike stoffen'!$Q$4:$R$15,2,FALSE)="yes"),CK25),"DER",CK23))))</f>
        <v>TBA</v>
      </c>
      <c r="CL24" s="161" t="str">
        <f>IF(CL4="all RM",IF(CL25,"DER",CL23),
IF(CL5=0,CL23,
IF(CL6=0,IF(AND(VLOOKUP(CL5,'gevaarljike stoffen'!$Q$4:$R$15,2,FALSE)="yes",CL25),"DER",CL23),
IF(AND(VLOOKUP(CL5,'gevaarljike stoffen'!$Q$4:$R$15,2,FALSE)="yes",(VLOOKUP(CL6,'gevaarljike stoffen'!$Q$4:$R$15,2,FALSE)="yes"),CL25),"DER",CL23))))</f>
        <v>TBA</v>
      </c>
      <c r="CM24" s="161" t="str">
        <f>IF(CM4="all RM",IF(CM25,"DER",CM23),
IF(CM5=0,CM23,
IF(CM6=0,IF(AND(VLOOKUP(CM5,'gevaarljike stoffen'!$Q$4:$R$15,2,FALSE)="yes",CM25),"DER",CM23),
IF(AND(VLOOKUP(CM5,'gevaarljike stoffen'!$Q$4:$R$15,2,FALSE)="yes",(VLOOKUP(CM6,'gevaarljike stoffen'!$Q$4:$R$15,2,FALSE)="yes"),CM25),"DER",CM23))))</f>
        <v>TBA</v>
      </c>
      <c r="CN24" s="161" t="str">
        <f>IF(CN4="all RM",IF(CN25,"DER",CN23),
IF(CN5=0,CN23,
IF(CN6=0,IF(AND(VLOOKUP(CN5,'gevaarljike stoffen'!$Q$4:$R$15,2,FALSE)="yes",CN25),"DER",CN23),
IF(AND(VLOOKUP(CN5,'gevaarljike stoffen'!$Q$4:$R$15,2,FALSE)="yes",(VLOOKUP(CN6,'gevaarljike stoffen'!$Q$4:$R$15,2,FALSE)="yes"),CN25),"DER",CN23))))</f>
        <v>TBA</v>
      </c>
      <c r="CO24" s="161" t="str">
        <f>IF(CO4="all RM",IF(CO25,"DER",CO23),
IF(CO5=0,CO23,
IF(CO6=0,IF(AND(VLOOKUP(CO5,'gevaarljike stoffen'!$Q$4:$R$15,2,FALSE)="yes",CO25),"DER",CO23),
IF(AND(VLOOKUP(CO5,'gevaarljike stoffen'!$Q$4:$R$15,2,FALSE)="yes",(VLOOKUP(CO6,'gevaarljike stoffen'!$Q$4:$R$15,2,FALSE)="yes"),CO25),"DER",CO23))))</f>
        <v>TBA</v>
      </c>
      <c r="CP24" s="161" t="str">
        <f>IF(CP4="all RM",IF(CP25,"DER",CP23),
IF(CP5=0,CP23,
IF(CP6=0,IF(AND(VLOOKUP(CP5,'gevaarljike stoffen'!$Q$4:$R$15,2,FALSE)="yes",CP25),"DER",CP23),
IF(AND(VLOOKUP(CP5,'gevaarljike stoffen'!$Q$4:$R$15,2,FALSE)="yes",(VLOOKUP(CP6,'gevaarljike stoffen'!$Q$4:$R$15,2,FALSE)="yes"),CP25),"DER",CP23))))</f>
        <v>TBA</v>
      </c>
      <c r="CQ24" s="161" t="str">
        <f>IF(CQ4="all RM",IF(CQ25,"DER",CQ23),
IF(CQ5=0,CQ23,
IF(CQ6=0,IF(AND(VLOOKUP(CQ5,'gevaarljike stoffen'!$Q$4:$R$15,2,FALSE)="yes",CQ25),"DER",CQ23),
IF(AND(VLOOKUP(CQ5,'gevaarljike stoffen'!$Q$4:$R$15,2,FALSE)="yes",(VLOOKUP(CQ6,'gevaarljike stoffen'!$Q$4:$R$15,2,FALSE)="yes"),CQ25),"DER",CQ23))))</f>
        <v>TBA</v>
      </c>
      <c r="CR24" s="161" t="str">
        <f>IF(CR4="all RM",IF(CR25,"DER",CR23),
IF(CR5=0,CR23,
IF(CR6=0,IF(AND(VLOOKUP(CR5,'gevaarljike stoffen'!$Q$4:$R$15,2,FALSE)="yes",CR25),"DER",CR23),
IF(AND(VLOOKUP(CR5,'gevaarljike stoffen'!$Q$4:$R$15,2,FALSE)="yes",(VLOOKUP(CR6,'gevaarljike stoffen'!$Q$4:$R$15,2,FALSE)="yes"),CR25),"DER",CR23))))</f>
        <v>TBA</v>
      </c>
      <c r="CS24" s="161" t="str">
        <f>IF(CS4="all RM",IF(CS25,"DER",CS23),
IF(CS5=0,CS23,
IF(CS6=0,IF(AND(VLOOKUP(CS5,'gevaarljike stoffen'!$Q$4:$R$15,2,FALSE)="yes",CS25),"DER",CS23),
IF(AND(VLOOKUP(CS5,'gevaarljike stoffen'!$Q$4:$R$15,2,FALSE)="yes",(VLOOKUP(CS6,'gevaarljike stoffen'!$Q$4:$R$15,2,FALSE)="yes"),CS25),"DER",CS23))))</f>
        <v>TBA</v>
      </c>
      <c r="CT24" s="161" t="e">
        <f>IF(CT4="all RM",IF(CT25,"DER",CT23),
IF(CT5=0,CT23,
IF(CT6=0,IF(AND(VLOOKUP(CT5,'gevaarljike stoffen'!$Q$4:$R$15,2,FALSE)="yes",CT25),"DER",CT23),
IF(AND(VLOOKUP(CT5,'gevaarljike stoffen'!$Q$4:$R$15,2,FALSE)="yes",(VLOOKUP(CT6,'gevaarljike stoffen'!$Q$4:$R$15,2,FALSE)="yes"),CT25),"DER",CT23))))</f>
        <v>#N/A</v>
      </c>
      <c r="CU24" s="161" t="e">
        <f>IF(CU4="all RM",IF(CU25,"DER",CU23),
IF(CU5=0,CU23,
IF(CU6=0,IF(AND(VLOOKUP(CU5,'gevaarljike stoffen'!$Q$4:$R$15,2,FALSE)="yes",CU25),"DER",CU23),
IF(AND(VLOOKUP(CU5,'gevaarljike stoffen'!$Q$4:$R$15,2,FALSE)="yes",(VLOOKUP(CU6,'gevaarljike stoffen'!$Q$4:$R$15,2,FALSE)="yes"),CU25),"DER",CU23))))</f>
        <v>#N/A</v>
      </c>
      <c r="CV24" s="161" t="e">
        <f>IF(CV4="all RM",IF(CV25,"DER",CV23),
IF(CV5=0,CV23,
IF(CV6=0,IF(AND(VLOOKUP(CV5,'gevaarljike stoffen'!$Q$4:$R$15,2,FALSE)="yes",CV25),"DER",CV23),
IF(AND(VLOOKUP(CV5,'gevaarljike stoffen'!$Q$4:$R$15,2,FALSE)="yes",(VLOOKUP(CV6,'gevaarljike stoffen'!$Q$4:$R$15,2,FALSE)="yes"),CV25),"DER",CV23))))</f>
        <v>#N/A</v>
      </c>
      <c r="CW24" t="s">
        <v>811</v>
      </c>
      <c r="CX24" t="s">
        <v>811</v>
      </c>
      <c r="CY24" t="s">
        <v>811</v>
      </c>
      <c r="CZ24" t="s">
        <v>811</v>
      </c>
      <c r="DA24" t="s">
        <v>811</v>
      </c>
      <c r="DB24" t="s">
        <v>811</v>
      </c>
      <c r="DC24" t="s">
        <v>811</v>
      </c>
      <c r="DD24" t="s">
        <v>811</v>
      </c>
      <c r="DE24" t="s">
        <v>811</v>
      </c>
      <c r="DF24" t="s">
        <v>811</v>
      </c>
      <c r="DG24" t="s">
        <v>811</v>
      </c>
      <c r="DH24" t="s">
        <v>811</v>
      </c>
      <c r="DI24" t="s">
        <v>811</v>
      </c>
      <c r="DJ24" t="s">
        <v>811</v>
      </c>
      <c r="DK24" t="s">
        <v>811</v>
      </c>
      <c r="DL24" t="s">
        <v>811</v>
      </c>
      <c r="DM24" t="s">
        <v>811</v>
      </c>
      <c r="DN24" t="s">
        <v>811</v>
      </c>
      <c r="DO24" t="s">
        <v>811</v>
      </c>
      <c r="DP24" t="s">
        <v>811</v>
      </c>
      <c r="DQ24" t="s">
        <v>811</v>
      </c>
      <c r="DR24" t="s">
        <v>811</v>
      </c>
      <c r="DS24" t="s">
        <v>811</v>
      </c>
      <c r="DT24" t="s">
        <v>811</v>
      </c>
      <c r="DU24" t="s">
        <v>811</v>
      </c>
      <c r="DV24" t="s">
        <v>811</v>
      </c>
    </row>
    <row r="25" spans="1:127" x14ac:dyDescent="0.25">
      <c r="A25" s="201" t="b">
        <f>OR('gevaarljike stoffen'!$B$11='MCB Policy'!A7,'gevaarljike stoffen'!$B$11='MCB Policy'!A8,'gevaarljike stoffen'!$B$11='MCB Policy'!A9,'gevaarljike stoffen'!$B$11='MCB Policy'!A10,'gevaarljike stoffen'!$B$11='MCB Policy'!A11,'gevaarljike stoffen'!$B$11='MCB Policy'!A12,'gevaarljike stoffen'!$B$11='MCB Policy'!A13,'gevaarljike stoffen'!$B$11='MCB Policy'!A14,'gevaarljike stoffen'!$B$11='MCB Policy'!A15,'gevaarljike stoffen'!$B$11='MCB Policy'!A16,'gevaarljike stoffen'!$B$11='MCB Policy'!A17,'gevaarljike stoffen'!$B$11='MCB Policy'!A18,'gevaarljike stoffen'!$B$11='MCB Policy'!A19,'gevaarljike stoffen'!$B$11='MCB Policy'!A20,'gevaarljike stoffen'!$B$11='MCB Policy'!A21,'gevaarljike stoffen'!$B$11='MCB Policy'!A22,)</f>
        <v>0</v>
      </c>
      <c r="B25" s="201" t="b">
        <f>OR('gevaarljike stoffen'!$B$11='MCB Policy'!B7,'gevaarljike stoffen'!$B$11='MCB Policy'!B8,'gevaarljike stoffen'!$B$11='MCB Policy'!B9,'gevaarljike stoffen'!$B$11='MCB Policy'!B10,'gevaarljike stoffen'!$B$11='MCB Policy'!B11,'gevaarljike stoffen'!$B$11='MCB Policy'!B12,'gevaarljike stoffen'!$B$11='MCB Policy'!B13,'gevaarljike stoffen'!$B$11='MCB Policy'!B14,'gevaarljike stoffen'!$B$11='MCB Policy'!B15,'gevaarljike stoffen'!$B$11='MCB Policy'!B16,'gevaarljike stoffen'!$B$11='MCB Policy'!B17,'gevaarljike stoffen'!$B$11='MCB Policy'!B18,'gevaarljike stoffen'!$B$11='MCB Policy'!B19,'gevaarljike stoffen'!$B$11='MCB Policy'!B20,'gevaarljike stoffen'!$B$11='MCB Policy'!B21,'gevaarljike stoffen'!$B$11='MCB Policy'!B22,)</f>
        <v>0</v>
      </c>
      <c r="C25" s="201" t="b">
        <f>OR('gevaarljike stoffen'!$B$11='MCB Policy'!C7,'gevaarljike stoffen'!$B$11='MCB Policy'!C8,'gevaarljike stoffen'!$B$11='MCB Policy'!C9,'gevaarljike stoffen'!$B$11='MCB Policy'!C10,'gevaarljike stoffen'!$B$11='MCB Policy'!C11,'gevaarljike stoffen'!$B$11='MCB Policy'!C12,'gevaarljike stoffen'!$B$11='MCB Policy'!C13,'gevaarljike stoffen'!$B$11='MCB Policy'!C14,'gevaarljike stoffen'!$B$11='MCB Policy'!C15,'gevaarljike stoffen'!$B$11='MCB Policy'!C16,'gevaarljike stoffen'!$B$11='MCB Policy'!C17,'gevaarljike stoffen'!$B$11='MCB Policy'!C18,'gevaarljike stoffen'!$B$11='MCB Policy'!C19,'gevaarljike stoffen'!$B$11='MCB Policy'!C20,'gevaarljike stoffen'!$B$11='MCB Policy'!C21,'gevaarljike stoffen'!$B$11='MCB Policy'!C22,)</f>
        <v>0</v>
      </c>
      <c r="D25" s="201" t="b">
        <f>OR('gevaarljike stoffen'!$B$11='MCB Policy'!D7,'gevaarljike stoffen'!$B$11='MCB Policy'!D8,'gevaarljike stoffen'!$B$11='MCB Policy'!D9,'gevaarljike stoffen'!$B$11='MCB Policy'!D10,'gevaarljike stoffen'!$B$11='MCB Policy'!D11,'gevaarljike stoffen'!$B$11='MCB Policy'!D12,'gevaarljike stoffen'!$B$11='MCB Policy'!D13,'gevaarljike stoffen'!$B$11='MCB Policy'!D14,'gevaarljike stoffen'!$B$11='MCB Policy'!D15,'gevaarljike stoffen'!$B$11='MCB Policy'!D16,'gevaarljike stoffen'!$B$11='MCB Policy'!D17,'gevaarljike stoffen'!$B$11='MCB Policy'!D18,'gevaarljike stoffen'!$B$11='MCB Policy'!D19,'gevaarljike stoffen'!$B$11='MCB Policy'!D20,'gevaarljike stoffen'!$B$11='MCB Policy'!D21,'gevaarljike stoffen'!$B$11='MCB Policy'!D22,)</f>
        <v>0</v>
      </c>
      <c r="E25" s="201" t="b">
        <f>OR('gevaarljike stoffen'!$B$11='MCB Policy'!E7,'gevaarljike stoffen'!$B$11='MCB Policy'!E8,'gevaarljike stoffen'!$B$11='MCB Policy'!E9,'gevaarljike stoffen'!$B$11='MCB Policy'!E10,'gevaarljike stoffen'!$B$11='MCB Policy'!E11,'gevaarljike stoffen'!$B$11='MCB Policy'!E12,'gevaarljike stoffen'!$B$11='MCB Policy'!E13,'gevaarljike stoffen'!$B$11='MCB Policy'!E14,'gevaarljike stoffen'!$B$11='MCB Policy'!E15,'gevaarljike stoffen'!$B$11='MCB Policy'!E16,'gevaarljike stoffen'!$B$11='MCB Policy'!E17,'gevaarljike stoffen'!$B$11='MCB Policy'!E18,'gevaarljike stoffen'!$B$11='MCB Policy'!E19,'gevaarljike stoffen'!$B$11='MCB Policy'!E20,'gevaarljike stoffen'!$B$11='MCB Policy'!E21,'gevaarljike stoffen'!$B$11='MCB Policy'!E22,)</f>
        <v>0</v>
      </c>
      <c r="F25" s="201" t="b">
        <f>OR('gevaarljike stoffen'!$B$11='MCB Policy'!F7,'gevaarljike stoffen'!$B$11='MCB Policy'!F8,'gevaarljike stoffen'!$B$11='MCB Policy'!F9,'gevaarljike stoffen'!$B$11='MCB Policy'!F10,'gevaarljike stoffen'!$B$11='MCB Policy'!F11,'gevaarljike stoffen'!$B$11='MCB Policy'!F12,'gevaarljike stoffen'!$B$11='MCB Policy'!F13,'gevaarljike stoffen'!$B$11='MCB Policy'!F14,'gevaarljike stoffen'!$B$11='MCB Policy'!F15,'gevaarljike stoffen'!$B$11='MCB Policy'!F16,'gevaarljike stoffen'!$B$11='MCB Policy'!F17,'gevaarljike stoffen'!$B$11='MCB Policy'!F18,'gevaarljike stoffen'!$B$11='MCB Policy'!F19,'gevaarljike stoffen'!$B$11='MCB Policy'!F20,'gevaarljike stoffen'!$B$11='MCB Policy'!F21,'gevaarljike stoffen'!$B$11='MCB Policy'!F22,)</f>
        <v>0</v>
      </c>
      <c r="G25" s="201" t="b">
        <f>OR('gevaarljike stoffen'!$B$11='MCB Policy'!G7,'gevaarljike stoffen'!$B$11='MCB Policy'!G8,'gevaarljike stoffen'!$B$11='MCB Policy'!G9,'gevaarljike stoffen'!$B$11='MCB Policy'!G10,'gevaarljike stoffen'!$B$11='MCB Policy'!G11,'gevaarljike stoffen'!$B$11='MCB Policy'!G12,'gevaarljike stoffen'!$B$11='MCB Policy'!G13,'gevaarljike stoffen'!$B$11='MCB Policy'!G14,'gevaarljike stoffen'!$B$11='MCB Policy'!G15,'gevaarljike stoffen'!$B$11='MCB Policy'!G16,'gevaarljike stoffen'!$B$11='MCB Policy'!G17,'gevaarljike stoffen'!$B$11='MCB Policy'!G18,'gevaarljike stoffen'!$B$11='MCB Policy'!G19,'gevaarljike stoffen'!$B$11='MCB Policy'!G20,'gevaarljike stoffen'!$B$11='MCB Policy'!G21,'gevaarljike stoffen'!$B$11='MCB Policy'!G22,)</f>
        <v>0</v>
      </c>
      <c r="H25" s="201" t="b">
        <f>OR('gevaarljike stoffen'!$B$11='MCB Policy'!H7,'gevaarljike stoffen'!$B$11='MCB Policy'!H8,'gevaarljike stoffen'!$B$11='MCB Policy'!H9,'gevaarljike stoffen'!$B$11='MCB Policy'!H10,'gevaarljike stoffen'!$B$11='MCB Policy'!H11,'gevaarljike stoffen'!$B$11='MCB Policy'!H12,'gevaarljike stoffen'!$B$11='MCB Policy'!H13,'gevaarljike stoffen'!$B$11='MCB Policy'!H14,'gevaarljike stoffen'!$B$11='MCB Policy'!H15,'gevaarljike stoffen'!$B$11='MCB Policy'!H16,'gevaarljike stoffen'!$B$11='MCB Policy'!H17,'gevaarljike stoffen'!$B$11='MCB Policy'!H18,'gevaarljike stoffen'!$B$11='MCB Policy'!H19,'gevaarljike stoffen'!$B$11='MCB Policy'!H20,'gevaarljike stoffen'!$B$11='MCB Policy'!H21,'gevaarljike stoffen'!$B$11='MCB Policy'!H22,)</f>
        <v>0</v>
      </c>
      <c r="I25" s="201" t="b">
        <f>OR('gevaarljike stoffen'!$B$11='MCB Policy'!I7,'gevaarljike stoffen'!$B$11='MCB Policy'!I8,'gevaarljike stoffen'!$B$11='MCB Policy'!I9,'gevaarljike stoffen'!$B$11='MCB Policy'!I10,'gevaarljike stoffen'!$B$11='MCB Policy'!I11,'gevaarljike stoffen'!$B$11='MCB Policy'!I12,'gevaarljike stoffen'!$B$11='MCB Policy'!I13,'gevaarljike stoffen'!$B$11='MCB Policy'!I14,'gevaarljike stoffen'!$B$11='MCB Policy'!I15,'gevaarljike stoffen'!$B$11='MCB Policy'!I16,'gevaarljike stoffen'!$B$11='MCB Policy'!I17,'gevaarljike stoffen'!$B$11='MCB Policy'!I18,'gevaarljike stoffen'!$B$11='MCB Policy'!I19,'gevaarljike stoffen'!$B$11='MCB Policy'!I20,'gevaarljike stoffen'!$B$11='MCB Policy'!I21,'gevaarljike stoffen'!$B$11='MCB Policy'!I22,)</f>
        <v>0</v>
      </c>
      <c r="J25" s="201" t="b">
        <f>OR('gevaarljike stoffen'!$B$11='MCB Policy'!J7,'gevaarljike stoffen'!$B$11='MCB Policy'!J8,'gevaarljike stoffen'!$B$11='MCB Policy'!J9,'gevaarljike stoffen'!$B$11='MCB Policy'!J10,'gevaarljike stoffen'!$B$11='MCB Policy'!J11,'gevaarljike stoffen'!$B$11='MCB Policy'!J12,'gevaarljike stoffen'!$B$11='MCB Policy'!J13,'gevaarljike stoffen'!$B$11='MCB Policy'!J14,'gevaarljike stoffen'!$B$11='MCB Policy'!J15,'gevaarljike stoffen'!$B$11='MCB Policy'!J16,'gevaarljike stoffen'!$B$11='MCB Policy'!J17,'gevaarljike stoffen'!$B$11='MCB Policy'!J18,'gevaarljike stoffen'!$B$11='MCB Policy'!J19,'gevaarljike stoffen'!$B$11='MCB Policy'!J20,'gevaarljike stoffen'!$B$11='MCB Policy'!J21,'gevaarljike stoffen'!$B$11='MCB Policy'!J22,)</f>
        <v>0</v>
      </c>
      <c r="K25" s="201" t="b">
        <f>OR('gevaarljike stoffen'!$B$11='MCB Policy'!K7,'gevaarljike stoffen'!$B$11='MCB Policy'!K8,'gevaarljike stoffen'!$B$11='MCB Policy'!K9,'gevaarljike stoffen'!$B$11='MCB Policy'!K10,'gevaarljike stoffen'!$B$11='MCB Policy'!K11,'gevaarljike stoffen'!$B$11='MCB Policy'!K12,'gevaarljike stoffen'!$B$11='MCB Policy'!K13,'gevaarljike stoffen'!$B$11='MCB Policy'!K14,'gevaarljike stoffen'!$B$11='MCB Policy'!K15,'gevaarljike stoffen'!$B$11='MCB Policy'!K16,'gevaarljike stoffen'!$B$11='MCB Policy'!K17,'gevaarljike stoffen'!$B$11='MCB Policy'!K18,'gevaarljike stoffen'!$B$11='MCB Policy'!K19,'gevaarljike stoffen'!$B$11='MCB Policy'!K20,'gevaarljike stoffen'!$B$11='MCB Policy'!K21,'gevaarljike stoffen'!$B$11='MCB Policy'!K22,)</f>
        <v>0</v>
      </c>
      <c r="L25" s="201" t="b">
        <f>OR('gevaarljike stoffen'!$B$11='MCB Policy'!L7,'gevaarljike stoffen'!$B$11='MCB Policy'!L8,'gevaarljike stoffen'!$B$11='MCB Policy'!L9,'gevaarljike stoffen'!$B$11='MCB Policy'!L10,'gevaarljike stoffen'!$B$11='MCB Policy'!L11,'gevaarljike stoffen'!$B$11='MCB Policy'!L12,'gevaarljike stoffen'!$B$11='MCB Policy'!L13,'gevaarljike stoffen'!$B$11='MCB Policy'!L14,'gevaarljike stoffen'!$B$11='MCB Policy'!L15,'gevaarljike stoffen'!$B$11='MCB Policy'!L16,'gevaarljike stoffen'!$B$11='MCB Policy'!L17,'gevaarljike stoffen'!$B$11='MCB Policy'!L18,'gevaarljike stoffen'!$B$11='MCB Policy'!L19,'gevaarljike stoffen'!$B$11='MCB Policy'!L20,'gevaarljike stoffen'!$B$11='MCB Policy'!L21,'gevaarljike stoffen'!$B$11='MCB Policy'!L22,)</f>
        <v>0</v>
      </c>
      <c r="M25" s="201" t="b">
        <f>OR('gevaarljike stoffen'!$B$11='MCB Policy'!M7,'gevaarljike stoffen'!$B$11='MCB Policy'!M8,'gevaarljike stoffen'!$B$11='MCB Policy'!M9,'gevaarljike stoffen'!$B$11='MCB Policy'!M10,'gevaarljike stoffen'!$B$11='MCB Policy'!M11,'gevaarljike stoffen'!$B$11='MCB Policy'!M12,'gevaarljike stoffen'!$B$11='MCB Policy'!M13,'gevaarljike stoffen'!$B$11='MCB Policy'!M14,'gevaarljike stoffen'!$B$11='MCB Policy'!M15,'gevaarljike stoffen'!$B$11='MCB Policy'!M16,'gevaarljike stoffen'!$B$11='MCB Policy'!M17,'gevaarljike stoffen'!$B$11='MCB Policy'!M18,'gevaarljike stoffen'!$B$11='MCB Policy'!M19,'gevaarljike stoffen'!$B$11='MCB Policy'!M20,'gevaarljike stoffen'!$B$11='MCB Policy'!M21,'gevaarljike stoffen'!$B$11='MCB Policy'!M22,)</f>
        <v>0</v>
      </c>
      <c r="N25" s="201" t="b">
        <f>OR('gevaarljike stoffen'!$B$11='MCB Policy'!N7,'gevaarljike stoffen'!$B$11='MCB Policy'!N8,'gevaarljike stoffen'!$B$11='MCB Policy'!N9,'gevaarljike stoffen'!$B$11='MCB Policy'!N10,'gevaarljike stoffen'!$B$11='MCB Policy'!N11,'gevaarljike stoffen'!$B$11='MCB Policy'!N12,'gevaarljike stoffen'!$B$11='MCB Policy'!N13,'gevaarljike stoffen'!$B$11='MCB Policy'!N14,'gevaarljike stoffen'!$B$11='MCB Policy'!N15,'gevaarljike stoffen'!$B$11='MCB Policy'!N16,'gevaarljike stoffen'!$B$11='MCB Policy'!N17,'gevaarljike stoffen'!$B$11='MCB Policy'!N18,'gevaarljike stoffen'!$B$11='MCB Policy'!N19,'gevaarljike stoffen'!$B$11='MCB Policy'!N20,'gevaarljike stoffen'!$B$11='MCB Policy'!N21,'gevaarljike stoffen'!$B$11='MCB Policy'!N22,)</f>
        <v>0</v>
      </c>
      <c r="O25" s="201" t="b">
        <f>OR('gevaarljike stoffen'!$B$11='MCB Policy'!O7,'gevaarljike stoffen'!$B$11='MCB Policy'!O8,'gevaarljike stoffen'!$B$11='MCB Policy'!O9,'gevaarljike stoffen'!$B$11='MCB Policy'!O10,'gevaarljike stoffen'!$B$11='MCB Policy'!O11,'gevaarljike stoffen'!$B$11='MCB Policy'!O12,'gevaarljike stoffen'!$B$11='MCB Policy'!O13,'gevaarljike stoffen'!$B$11='MCB Policy'!O14,'gevaarljike stoffen'!$B$11='MCB Policy'!O15,'gevaarljike stoffen'!$B$11='MCB Policy'!O16,'gevaarljike stoffen'!$B$11='MCB Policy'!O17,'gevaarljike stoffen'!$B$11='MCB Policy'!O18,'gevaarljike stoffen'!$B$11='MCB Policy'!O19,'gevaarljike stoffen'!$B$11='MCB Policy'!O20,'gevaarljike stoffen'!$B$11='MCB Policy'!O21,'gevaarljike stoffen'!$B$11='MCB Policy'!O22,)</f>
        <v>0</v>
      </c>
      <c r="P25" s="201" t="b">
        <f>OR('gevaarljike stoffen'!$B$11='MCB Policy'!P7,'gevaarljike stoffen'!$B$11='MCB Policy'!P8,'gevaarljike stoffen'!$B$11='MCB Policy'!P9,'gevaarljike stoffen'!$B$11='MCB Policy'!P10,'gevaarljike stoffen'!$B$11='MCB Policy'!P11,'gevaarljike stoffen'!$B$11='MCB Policy'!P12,'gevaarljike stoffen'!$B$11='MCB Policy'!P13,'gevaarljike stoffen'!$B$11='MCB Policy'!P14,'gevaarljike stoffen'!$B$11='MCB Policy'!P15,'gevaarljike stoffen'!$B$11='MCB Policy'!P16,'gevaarljike stoffen'!$B$11='MCB Policy'!P17,'gevaarljike stoffen'!$B$11='MCB Policy'!P18,'gevaarljike stoffen'!$B$11='MCB Policy'!P19,'gevaarljike stoffen'!$B$11='MCB Policy'!P20,'gevaarljike stoffen'!$B$11='MCB Policy'!P21,'gevaarljike stoffen'!$B$11='MCB Policy'!P22,)</f>
        <v>0</v>
      </c>
      <c r="Q25" s="201" t="b">
        <f>OR('gevaarljike stoffen'!$B$11='MCB Policy'!Q7,'gevaarljike stoffen'!$B$11='MCB Policy'!Q8,'gevaarljike stoffen'!$B$11='MCB Policy'!Q9,'gevaarljike stoffen'!$B$11='MCB Policy'!Q10,'gevaarljike stoffen'!$B$11='MCB Policy'!Q11,'gevaarljike stoffen'!$B$11='MCB Policy'!Q12,'gevaarljike stoffen'!$B$11='MCB Policy'!Q13,'gevaarljike stoffen'!$B$11='MCB Policy'!Q14,'gevaarljike stoffen'!$B$11='MCB Policy'!Q15,'gevaarljike stoffen'!$B$11='MCB Policy'!Q16,'gevaarljike stoffen'!$B$11='MCB Policy'!Q17,'gevaarljike stoffen'!$B$11='MCB Policy'!Q18,'gevaarljike stoffen'!$B$11='MCB Policy'!Q19,'gevaarljike stoffen'!$B$11='MCB Policy'!Q20,'gevaarljike stoffen'!$B$11='MCB Policy'!Q21,'gevaarljike stoffen'!$B$11='MCB Policy'!Q22,)</f>
        <v>0</v>
      </c>
      <c r="R25" s="201" t="b">
        <f>OR('gevaarljike stoffen'!$B$11='MCB Policy'!R7,'gevaarljike stoffen'!$B$11='MCB Policy'!R8,'gevaarljike stoffen'!$B$11='MCB Policy'!R9,'gevaarljike stoffen'!$B$11='MCB Policy'!R10,'gevaarljike stoffen'!$B$11='MCB Policy'!R11,'gevaarljike stoffen'!$B$11='MCB Policy'!R12,'gevaarljike stoffen'!$B$11='MCB Policy'!R13,'gevaarljike stoffen'!$B$11='MCB Policy'!R14,'gevaarljike stoffen'!$B$11='MCB Policy'!R15,'gevaarljike stoffen'!$B$11='MCB Policy'!R16,'gevaarljike stoffen'!$B$11='MCB Policy'!R17,'gevaarljike stoffen'!$B$11='MCB Policy'!R18,'gevaarljike stoffen'!$B$11='MCB Policy'!R19,'gevaarljike stoffen'!$B$11='MCB Policy'!R20,'gevaarljike stoffen'!$B$11='MCB Policy'!R21,'gevaarljike stoffen'!$B$11='MCB Policy'!R22,)</f>
        <v>0</v>
      </c>
      <c r="S25" s="201" t="b">
        <f>OR('gevaarljike stoffen'!$B$11='MCB Policy'!S7,'gevaarljike stoffen'!$B$11='MCB Policy'!S8,'gevaarljike stoffen'!$B$11='MCB Policy'!S9,'gevaarljike stoffen'!$B$11='MCB Policy'!S10,'gevaarljike stoffen'!$B$11='MCB Policy'!S11,'gevaarljike stoffen'!$B$11='MCB Policy'!S12,'gevaarljike stoffen'!$B$11='MCB Policy'!S13,'gevaarljike stoffen'!$B$11='MCB Policy'!S14,'gevaarljike stoffen'!$B$11='MCB Policy'!S15,'gevaarljike stoffen'!$B$11='MCB Policy'!S16,'gevaarljike stoffen'!$B$11='MCB Policy'!S17,'gevaarljike stoffen'!$B$11='MCB Policy'!S18,'gevaarljike stoffen'!$B$11='MCB Policy'!S19,'gevaarljike stoffen'!$B$11='MCB Policy'!S20,'gevaarljike stoffen'!$B$11='MCB Policy'!S21,'gevaarljike stoffen'!$B$11='MCB Policy'!S22,)</f>
        <v>0</v>
      </c>
      <c r="T25" s="201" t="b">
        <f>OR('gevaarljike stoffen'!$B$11='MCB Policy'!T7,'gevaarljike stoffen'!$B$11='MCB Policy'!T8,'gevaarljike stoffen'!$B$11='MCB Policy'!T9,'gevaarljike stoffen'!$B$11='MCB Policy'!T10,'gevaarljike stoffen'!$B$11='MCB Policy'!T11,'gevaarljike stoffen'!$B$11='MCB Policy'!T12,'gevaarljike stoffen'!$B$11='MCB Policy'!T13,'gevaarljike stoffen'!$B$11='MCB Policy'!T14,'gevaarljike stoffen'!$B$11='MCB Policy'!T15,'gevaarljike stoffen'!$B$11='MCB Policy'!T16,'gevaarljike stoffen'!$B$11='MCB Policy'!T17,'gevaarljike stoffen'!$B$11='MCB Policy'!T18,'gevaarljike stoffen'!$B$11='MCB Policy'!T19,'gevaarljike stoffen'!$B$11='MCB Policy'!T20,'gevaarljike stoffen'!$B$11='MCB Policy'!T21,'gevaarljike stoffen'!$B$11='MCB Policy'!T22,)</f>
        <v>0</v>
      </c>
      <c r="U25" s="201" t="b">
        <f>OR('gevaarljike stoffen'!$B$11='MCB Policy'!U7,'gevaarljike stoffen'!$B$11='MCB Policy'!U8,'gevaarljike stoffen'!$B$11='MCB Policy'!U9,'gevaarljike stoffen'!$B$11='MCB Policy'!U10,'gevaarljike stoffen'!$B$11='MCB Policy'!U11,'gevaarljike stoffen'!$B$11='MCB Policy'!U12,'gevaarljike stoffen'!$B$11='MCB Policy'!U13,'gevaarljike stoffen'!$B$11='MCB Policy'!U14,'gevaarljike stoffen'!$B$11='MCB Policy'!U15,'gevaarljike stoffen'!$B$11='MCB Policy'!U16,'gevaarljike stoffen'!$B$11='MCB Policy'!U17,'gevaarljike stoffen'!$B$11='MCB Policy'!U18,'gevaarljike stoffen'!$B$11='MCB Policy'!U19,'gevaarljike stoffen'!$B$11='MCB Policy'!U20,'gevaarljike stoffen'!$B$11='MCB Policy'!U21,'gevaarljike stoffen'!$B$11='MCB Policy'!U22,)</f>
        <v>0</v>
      </c>
      <c r="V25" s="201" t="b">
        <f>OR('gevaarljike stoffen'!$B$11='MCB Policy'!V7,'gevaarljike stoffen'!$B$11='MCB Policy'!V8,'gevaarljike stoffen'!$B$11='MCB Policy'!V9,'gevaarljike stoffen'!$B$11='MCB Policy'!V10,'gevaarljike stoffen'!$B$11='MCB Policy'!V11,'gevaarljike stoffen'!$B$11='MCB Policy'!V12,'gevaarljike stoffen'!$B$11='MCB Policy'!V13,'gevaarljike stoffen'!$B$11='MCB Policy'!V14,'gevaarljike stoffen'!$B$11='MCB Policy'!V15,'gevaarljike stoffen'!$B$11='MCB Policy'!V16,'gevaarljike stoffen'!$B$11='MCB Policy'!V17,'gevaarljike stoffen'!$B$11='MCB Policy'!V18,'gevaarljike stoffen'!$B$11='MCB Policy'!V19,'gevaarljike stoffen'!$B$11='MCB Policy'!V20,'gevaarljike stoffen'!$B$11='MCB Policy'!V21,'gevaarljike stoffen'!$B$11='MCB Policy'!V22,)</f>
        <v>0</v>
      </c>
      <c r="W25" s="201" t="b">
        <f>OR('gevaarljike stoffen'!$B$11='MCB Policy'!W7,'gevaarljike stoffen'!$B$11='MCB Policy'!W8,'gevaarljike stoffen'!$B$11='MCB Policy'!W9,'gevaarljike stoffen'!$B$11='MCB Policy'!W10,'gevaarljike stoffen'!$B$11='MCB Policy'!W11,'gevaarljike stoffen'!$B$11='MCB Policy'!W12,'gevaarljike stoffen'!$B$11='MCB Policy'!W13,'gevaarljike stoffen'!$B$11='MCB Policy'!W14,'gevaarljike stoffen'!$B$11='MCB Policy'!W15,'gevaarljike stoffen'!$B$11='MCB Policy'!W16,'gevaarljike stoffen'!$B$11='MCB Policy'!W17,'gevaarljike stoffen'!$B$11='MCB Policy'!W18,'gevaarljike stoffen'!$B$11='MCB Policy'!W19,'gevaarljike stoffen'!$B$11='MCB Policy'!W20,'gevaarljike stoffen'!$B$11='MCB Policy'!W21,'gevaarljike stoffen'!$B$11='MCB Policy'!W22,)</f>
        <v>0</v>
      </c>
      <c r="X25" s="201" t="b">
        <f>OR('gevaarljike stoffen'!$B$11='MCB Policy'!X7,'gevaarljike stoffen'!$B$11='MCB Policy'!X8,'gevaarljike stoffen'!$B$11='MCB Policy'!X9,'gevaarljike stoffen'!$B$11='MCB Policy'!X10,'gevaarljike stoffen'!$B$11='MCB Policy'!X11,'gevaarljike stoffen'!$B$11='MCB Policy'!X12,'gevaarljike stoffen'!$B$11='MCB Policy'!X13,'gevaarljike stoffen'!$B$11='MCB Policy'!X14,'gevaarljike stoffen'!$B$11='MCB Policy'!X15,'gevaarljike stoffen'!$B$11='MCB Policy'!X16,'gevaarljike stoffen'!$B$11='MCB Policy'!X17,'gevaarljike stoffen'!$B$11='MCB Policy'!X18,'gevaarljike stoffen'!$B$11='MCB Policy'!X19,'gevaarljike stoffen'!$B$11='MCB Policy'!X20,'gevaarljike stoffen'!$B$11='MCB Policy'!X21,'gevaarljike stoffen'!$B$11='MCB Policy'!X22,)</f>
        <v>0</v>
      </c>
      <c r="Y25" s="201" t="b">
        <f>OR('gevaarljike stoffen'!$B$11='MCB Policy'!Y7,'gevaarljike stoffen'!$B$11='MCB Policy'!Y8,'gevaarljike stoffen'!$B$11='MCB Policy'!Y9,'gevaarljike stoffen'!$B$11='MCB Policy'!Y10,'gevaarljike stoffen'!$B$11='MCB Policy'!Y11,'gevaarljike stoffen'!$B$11='MCB Policy'!Y12,'gevaarljike stoffen'!$B$11='MCB Policy'!Y13,'gevaarljike stoffen'!$B$11='MCB Policy'!Y14,'gevaarljike stoffen'!$B$11='MCB Policy'!Y15,'gevaarljike stoffen'!$B$11='MCB Policy'!Y16,'gevaarljike stoffen'!$B$11='MCB Policy'!Y17,'gevaarljike stoffen'!$B$11='MCB Policy'!Y18,'gevaarljike stoffen'!$B$11='MCB Policy'!Y19,'gevaarljike stoffen'!$B$11='MCB Policy'!Y20,'gevaarljike stoffen'!$B$11='MCB Policy'!Y21,'gevaarljike stoffen'!$B$11='MCB Policy'!Y22,)</f>
        <v>0</v>
      </c>
      <c r="Z25" s="201" t="b">
        <f>OR('gevaarljike stoffen'!$B$11='MCB Policy'!Z7,'gevaarljike stoffen'!$B$11='MCB Policy'!Z8,'gevaarljike stoffen'!$B$11='MCB Policy'!Z9,'gevaarljike stoffen'!$B$11='MCB Policy'!Z10,'gevaarljike stoffen'!$B$11='MCB Policy'!Z11,'gevaarljike stoffen'!$B$11='MCB Policy'!Z12,'gevaarljike stoffen'!$B$11='MCB Policy'!Z13,'gevaarljike stoffen'!$B$11='MCB Policy'!Z14,'gevaarljike stoffen'!$B$11='MCB Policy'!Z15,'gevaarljike stoffen'!$B$11='MCB Policy'!Z16,'gevaarljike stoffen'!$B$11='MCB Policy'!Z17,'gevaarljike stoffen'!$B$11='MCB Policy'!Z18,'gevaarljike stoffen'!$B$11='MCB Policy'!Z19,'gevaarljike stoffen'!$B$11='MCB Policy'!Z20,'gevaarljike stoffen'!$B$11='MCB Policy'!Z21,'gevaarljike stoffen'!$B$11='MCB Policy'!Z22,)</f>
        <v>0</v>
      </c>
      <c r="AA25" s="201" t="b">
        <f>OR('gevaarljike stoffen'!$B$11='MCB Policy'!AA7,'gevaarljike stoffen'!$B$11='MCB Policy'!AA8,'gevaarljike stoffen'!$B$11='MCB Policy'!AA9,'gevaarljike stoffen'!$B$11='MCB Policy'!AA10,'gevaarljike stoffen'!$B$11='MCB Policy'!AA11,'gevaarljike stoffen'!$B$11='MCB Policy'!AA12,'gevaarljike stoffen'!$B$11='MCB Policy'!AA13,'gevaarljike stoffen'!$B$11='MCB Policy'!AA14,'gevaarljike stoffen'!$B$11='MCB Policy'!AA15,'gevaarljike stoffen'!$B$11='MCB Policy'!AA16,'gevaarljike stoffen'!$B$11='MCB Policy'!AA17,'gevaarljike stoffen'!$B$11='MCB Policy'!AA18,'gevaarljike stoffen'!$B$11='MCB Policy'!AA19,'gevaarljike stoffen'!$B$11='MCB Policy'!AA20,'gevaarljike stoffen'!$B$11='MCB Policy'!AA21,'gevaarljike stoffen'!$B$11='MCB Policy'!AA22,)</f>
        <v>0</v>
      </c>
      <c r="AB25" s="201" t="b">
        <f>OR('gevaarljike stoffen'!$B$11='MCB Policy'!AB7,'gevaarljike stoffen'!$B$11='MCB Policy'!AB8,'gevaarljike stoffen'!$B$11='MCB Policy'!AB9,'gevaarljike stoffen'!$B$11='MCB Policy'!AB10,'gevaarljike stoffen'!$B$11='MCB Policy'!AB11,'gevaarljike stoffen'!$B$11='MCB Policy'!AB12,'gevaarljike stoffen'!$B$11='MCB Policy'!AB13,'gevaarljike stoffen'!$B$11='MCB Policy'!AB14,'gevaarljike stoffen'!$B$11='MCB Policy'!AB15,'gevaarljike stoffen'!$B$11='MCB Policy'!AB16,'gevaarljike stoffen'!$B$11='MCB Policy'!AB17,'gevaarljike stoffen'!$B$11='MCB Policy'!AB18,'gevaarljike stoffen'!$B$11='MCB Policy'!AB19,'gevaarljike stoffen'!$B$11='MCB Policy'!AB20,'gevaarljike stoffen'!$B$11='MCB Policy'!AB21,'gevaarljike stoffen'!$B$11='MCB Policy'!AB22,)</f>
        <v>0</v>
      </c>
      <c r="AC25" s="201" t="b">
        <f>OR('gevaarljike stoffen'!$B$11='MCB Policy'!AC7,'gevaarljike stoffen'!$B$11='MCB Policy'!AC8,'gevaarljike stoffen'!$B$11='MCB Policy'!AC9,'gevaarljike stoffen'!$B$11='MCB Policy'!AC10,'gevaarljike stoffen'!$B$11='MCB Policy'!AC11,'gevaarljike stoffen'!$B$11='MCB Policy'!AC12,'gevaarljike stoffen'!$B$11='MCB Policy'!AC13,'gevaarljike stoffen'!$B$11='MCB Policy'!AC14,'gevaarljike stoffen'!$B$11='MCB Policy'!AC15,'gevaarljike stoffen'!$B$11='MCB Policy'!AC16,'gevaarljike stoffen'!$B$11='MCB Policy'!AC17,'gevaarljike stoffen'!$B$11='MCB Policy'!AC18,'gevaarljike stoffen'!$B$11='MCB Policy'!AC19,'gevaarljike stoffen'!$B$11='MCB Policy'!AC20,'gevaarljike stoffen'!$B$11='MCB Policy'!AC21,'gevaarljike stoffen'!$B$11='MCB Policy'!AC22,)</f>
        <v>0</v>
      </c>
      <c r="AD25" s="201" t="b">
        <f>OR('gevaarljike stoffen'!$B$11='MCB Policy'!AD7,'gevaarljike stoffen'!$B$11='MCB Policy'!AD8,'gevaarljike stoffen'!$B$11='MCB Policy'!AD9,'gevaarljike stoffen'!$B$11='MCB Policy'!AD10,'gevaarljike stoffen'!$B$11='MCB Policy'!AD11,'gevaarljike stoffen'!$B$11='MCB Policy'!AD12,'gevaarljike stoffen'!$B$11='MCB Policy'!AD13,'gevaarljike stoffen'!$B$11='MCB Policy'!AD14,'gevaarljike stoffen'!$B$11='MCB Policy'!AD15,'gevaarljike stoffen'!$B$11='MCB Policy'!AD16,'gevaarljike stoffen'!$B$11='MCB Policy'!AD17,'gevaarljike stoffen'!$B$11='MCB Policy'!AD18,'gevaarljike stoffen'!$B$11='MCB Policy'!AD19,'gevaarljike stoffen'!$B$11='MCB Policy'!AD20,'gevaarljike stoffen'!$B$11='MCB Policy'!AD21,'gevaarljike stoffen'!$B$11='MCB Policy'!AD22,)</f>
        <v>0</v>
      </c>
      <c r="AE25" s="201" t="b">
        <f>OR('gevaarljike stoffen'!$B$11='MCB Policy'!AE7,'gevaarljike stoffen'!$B$11='MCB Policy'!AE8,'gevaarljike stoffen'!$B$11='MCB Policy'!AE9,'gevaarljike stoffen'!$B$11='MCB Policy'!AE10,'gevaarljike stoffen'!$B$11='MCB Policy'!AE11,'gevaarljike stoffen'!$B$11='MCB Policy'!AE12,'gevaarljike stoffen'!$B$11='MCB Policy'!AE13,'gevaarljike stoffen'!$B$11='MCB Policy'!AE14,'gevaarljike stoffen'!$B$11='MCB Policy'!AE15,'gevaarljike stoffen'!$B$11='MCB Policy'!AE16,'gevaarljike stoffen'!$B$11='MCB Policy'!AE17,'gevaarljike stoffen'!$B$11='MCB Policy'!AE18,'gevaarljike stoffen'!$B$11='MCB Policy'!AE19,'gevaarljike stoffen'!$B$11='MCB Policy'!AE20,'gevaarljike stoffen'!$B$11='MCB Policy'!AE21,'gevaarljike stoffen'!$B$11='MCB Policy'!AE22,)</f>
        <v>0</v>
      </c>
      <c r="AF25" s="201" t="b">
        <f>OR('gevaarljike stoffen'!$B$11='MCB Policy'!AF7,'gevaarljike stoffen'!$B$11='MCB Policy'!AF8,'gevaarljike stoffen'!$B$11='MCB Policy'!AF9,'gevaarljike stoffen'!$B$11='MCB Policy'!AF10,'gevaarljike stoffen'!$B$11='MCB Policy'!AF11,'gevaarljike stoffen'!$B$11='MCB Policy'!AF12,'gevaarljike stoffen'!$B$11='MCB Policy'!AF13,'gevaarljike stoffen'!$B$11='MCB Policy'!AF14,'gevaarljike stoffen'!$B$11='MCB Policy'!AF15,'gevaarljike stoffen'!$B$11='MCB Policy'!AF16,'gevaarljike stoffen'!$B$11='MCB Policy'!AF17,'gevaarljike stoffen'!$B$11='MCB Policy'!AF18,'gevaarljike stoffen'!$B$11='MCB Policy'!AF19,'gevaarljike stoffen'!$B$11='MCB Policy'!AF20,'gevaarljike stoffen'!$B$11='MCB Policy'!AF21,'gevaarljike stoffen'!$B$11='MCB Policy'!AF22,)</f>
        <v>0</v>
      </c>
      <c r="AG25" s="201" t="b">
        <f>OR('gevaarljike stoffen'!$B$11='MCB Policy'!AG7,'gevaarljike stoffen'!$B$11='MCB Policy'!AG8,'gevaarljike stoffen'!$B$11='MCB Policy'!AG9,'gevaarljike stoffen'!$B$11='MCB Policy'!AG10,'gevaarljike stoffen'!$B$11='MCB Policy'!AG11,'gevaarljike stoffen'!$B$11='MCB Policy'!AG12,'gevaarljike stoffen'!$B$11='MCB Policy'!AG13,'gevaarljike stoffen'!$B$11='MCB Policy'!AG14,'gevaarljike stoffen'!$B$11='MCB Policy'!AG15,'gevaarljike stoffen'!$B$11='MCB Policy'!AG16,'gevaarljike stoffen'!$B$11='MCB Policy'!AG17,'gevaarljike stoffen'!$B$11='MCB Policy'!AG18,'gevaarljike stoffen'!$B$11='MCB Policy'!AG19,'gevaarljike stoffen'!$B$11='MCB Policy'!AG20,'gevaarljike stoffen'!$B$11='MCB Policy'!AG21,'gevaarljike stoffen'!$B$11='MCB Policy'!AG22,)</f>
        <v>1</v>
      </c>
      <c r="AH25" s="201" t="b">
        <f>OR('gevaarljike stoffen'!$B$11='MCB Policy'!AH7,'gevaarljike stoffen'!$B$11='MCB Policy'!AH8,'gevaarljike stoffen'!$B$11='MCB Policy'!AH9,'gevaarljike stoffen'!$B$11='MCB Policy'!AH10,'gevaarljike stoffen'!$B$11='MCB Policy'!AH11,'gevaarljike stoffen'!$B$11='MCB Policy'!AH12,'gevaarljike stoffen'!$B$11='MCB Policy'!AH13,'gevaarljike stoffen'!$B$11='MCB Policy'!AH14,'gevaarljike stoffen'!$B$11='MCB Policy'!AH15,'gevaarljike stoffen'!$B$11='MCB Policy'!AH16,'gevaarljike stoffen'!$B$11='MCB Policy'!AH17,'gevaarljike stoffen'!$B$11='MCB Policy'!AH18,'gevaarljike stoffen'!$B$11='MCB Policy'!AH19,'gevaarljike stoffen'!$B$11='MCB Policy'!AH20,'gevaarljike stoffen'!$B$11='MCB Policy'!AH21,'gevaarljike stoffen'!$B$11='MCB Policy'!AH22,)</f>
        <v>1</v>
      </c>
      <c r="AI25" s="201" t="b">
        <f>OR('gevaarljike stoffen'!$B$11='MCB Policy'!AI7,'gevaarljike stoffen'!$B$11='MCB Policy'!AI8,'gevaarljike stoffen'!$B$11='MCB Policy'!AI9,'gevaarljike stoffen'!$B$11='MCB Policy'!AI10,'gevaarljike stoffen'!$B$11='MCB Policy'!AI11,'gevaarljike stoffen'!$B$11='MCB Policy'!AI12,'gevaarljike stoffen'!$B$11='MCB Policy'!AI13,'gevaarljike stoffen'!$B$11='MCB Policy'!AI14,'gevaarljike stoffen'!$B$11='MCB Policy'!AI15,'gevaarljike stoffen'!$B$11='MCB Policy'!AI16,'gevaarljike stoffen'!$B$11='MCB Policy'!AI17,'gevaarljike stoffen'!$B$11='MCB Policy'!AI18,'gevaarljike stoffen'!$B$11='MCB Policy'!AI19,'gevaarljike stoffen'!$B$11='MCB Policy'!AI20,'gevaarljike stoffen'!$B$11='MCB Policy'!AI21,'gevaarljike stoffen'!$B$11='MCB Policy'!AI22,)</f>
        <v>0</v>
      </c>
      <c r="AJ25" s="201" t="b">
        <f>OR('gevaarljike stoffen'!$B$11='MCB Policy'!AJ7,'gevaarljike stoffen'!$B$11='MCB Policy'!AJ8,'gevaarljike stoffen'!$B$11='MCB Policy'!AJ9,'gevaarljike stoffen'!$B$11='MCB Policy'!AJ10,'gevaarljike stoffen'!$B$11='MCB Policy'!AJ11,'gevaarljike stoffen'!$B$11='MCB Policy'!AJ12,'gevaarljike stoffen'!$B$11='MCB Policy'!AJ13,'gevaarljike stoffen'!$B$11='MCB Policy'!AJ14,'gevaarljike stoffen'!$B$11='MCB Policy'!AJ15,'gevaarljike stoffen'!$B$11='MCB Policy'!AJ16,'gevaarljike stoffen'!$B$11='MCB Policy'!AJ17,'gevaarljike stoffen'!$B$11='MCB Policy'!AJ18,'gevaarljike stoffen'!$B$11='MCB Policy'!AJ19,'gevaarljike stoffen'!$B$11='MCB Policy'!AJ20,'gevaarljike stoffen'!$B$11='MCB Policy'!AJ21,'gevaarljike stoffen'!$B$11='MCB Policy'!AJ22,)</f>
        <v>0</v>
      </c>
      <c r="AK25" s="201" t="b">
        <f>OR('gevaarljike stoffen'!$B$11='MCB Policy'!AK7,'gevaarljike stoffen'!$B$11='MCB Policy'!AK8,'gevaarljike stoffen'!$B$11='MCB Policy'!AK9,'gevaarljike stoffen'!$B$11='MCB Policy'!AK10,'gevaarljike stoffen'!$B$11='MCB Policy'!AK11,'gevaarljike stoffen'!$B$11='MCB Policy'!AK12,'gevaarljike stoffen'!$B$11='MCB Policy'!AK13,'gevaarljike stoffen'!$B$11='MCB Policy'!AK14,'gevaarljike stoffen'!$B$11='MCB Policy'!AK15,'gevaarljike stoffen'!$B$11='MCB Policy'!AK16,'gevaarljike stoffen'!$B$11='MCB Policy'!AK17,'gevaarljike stoffen'!$B$11='MCB Policy'!AK18,'gevaarljike stoffen'!$B$11='MCB Policy'!AK19,'gevaarljike stoffen'!$B$11='MCB Policy'!AK20,'gevaarljike stoffen'!$B$11='MCB Policy'!AK21,'gevaarljike stoffen'!$B$11='MCB Policy'!AK22,)</f>
        <v>0</v>
      </c>
      <c r="AL25" s="201" t="b">
        <f>OR('gevaarljike stoffen'!$B$11='MCB Policy'!AL7,'gevaarljike stoffen'!$B$11='MCB Policy'!AL8,'gevaarljike stoffen'!$B$11='MCB Policy'!AL9,'gevaarljike stoffen'!$B$11='MCB Policy'!AL10,'gevaarljike stoffen'!$B$11='MCB Policy'!AL11,'gevaarljike stoffen'!$B$11='MCB Policy'!AL12,'gevaarljike stoffen'!$B$11='MCB Policy'!AL13,'gevaarljike stoffen'!$B$11='MCB Policy'!AL14,'gevaarljike stoffen'!$B$11='MCB Policy'!AL15,'gevaarljike stoffen'!$B$11='MCB Policy'!AL16,'gevaarljike stoffen'!$B$11='MCB Policy'!AL17,'gevaarljike stoffen'!$B$11='MCB Policy'!AL18,'gevaarljike stoffen'!$B$11='MCB Policy'!AL19,'gevaarljike stoffen'!$B$11='MCB Policy'!AL20,'gevaarljike stoffen'!$B$11='MCB Policy'!AL21,'gevaarljike stoffen'!$B$11='MCB Policy'!AL22,)</f>
        <v>0</v>
      </c>
      <c r="AM25" s="201" t="b">
        <f>OR('gevaarljike stoffen'!$B$11='MCB Policy'!AM7,'gevaarljike stoffen'!$B$11='MCB Policy'!AM8,'gevaarljike stoffen'!$B$11='MCB Policy'!AM9,'gevaarljike stoffen'!$B$11='MCB Policy'!AM10,'gevaarljike stoffen'!$B$11='MCB Policy'!AM11,'gevaarljike stoffen'!$B$11='MCB Policy'!AM12,'gevaarljike stoffen'!$B$11='MCB Policy'!AM13,'gevaarljike stoffen'!$B$11='MCB Policy'!AM14,'gevaarljike stoffen'!$B$11='MCB Policy'!AM15,'gevaarljike stoffen'!$B$11='MCB Policy'!AM16,'gevaarljike stoffen'!$B$11='MCB Policy'!AM17,'gevaarljike stoffen'!$B$11='MCB Policy'!AM18,'gevaarljike stoffen'!$B$11='MCB Policy'!AM19,'gevaarljike stoffen'!$B$11='MCB Policy'!AM20,'gevaarljike stoffen'!$B$11='MCB Policy'!AM21,'gevaarljike stoffen'!$B$11='MCB Policy'!AM22,)</f>
        <v>0</v>
      </c>
      <c r="AN25" s="201" t="b">
        <f>OR('gevaarljike stoffen'!$B$11='MCB Policy'!AN7,'gevaarljike stoffen'!$B$11='MCB Policy'!AN8,'gevaarljike stoffen'!$B$11='MCB Policy'!AN9,'gevaarljike stoffen'!$B$11='MCB Policy'!AN10,'gevaarljike stoffen'!$B$11='MCB Policy'!AN11,'gevaarljike stoffen'!$B$11='MCB Policy'!AN12,'gevaarljike stoffen'!$B$11='MCB Policy'!AN13,'gevaarljike stoffen'!$B$11='MCB Policy'!AN14,'gevaarljike stoffen'!$B$11='MCB Policy'!AN15,'gevaarljike stoffen'!$B$11='MCB Policy'!AN16,'gevaarljike stoffen'!$B$11='MCB Policy'!AN17,'gevaarljike stoffen'!$B$11='MCB Policy'!AN18,'gevaarljike stoffen'!$B$11='MCB Policy'!AN19,'gevaarljike stoffen'!$B$11='MCB Policy'!AN20,'gevaarljike stoffen'!$B$11='MCB Policy'!AN21,'gevaarljike stoffen'!$B$11='MCB Policy'!AN22,)</f>
        <v>0</v>
      </c>
      <c r="AO25" s="201" t="b">
        <f>OR('gevaarljike stoffen'!$B$11='MCB Policy'!AO7,'gevaarljike stoffen'!$B$11='MCB Policy'!AO8,'gevaarljike stoffen'!$B$11='MCB Policy'!AO9,'gevaarljike stoffen'!$B$11='MCB Policy'!AO10,'gevaarljike stoffen'!$B$11='MCB Policy'!AO11,'gevaarljike stoffen'!$B$11='MCB Policy'!AO12,'gevaarljike stoffen'!$B$11='MCB Policy'!AO13,'gevaarljike stoffen'!$B$11='MCB Policy'!AO14,'gevaarljike stoffen'!$B$11='MCB Policy'!AO15,'gevaarljike stoffen'!$B$11='MCB Policy'!AO16,'gevaarljike stoffen'!$B$11='MCB Policy'!AO17,'gevaarljike stoffen'!$B$11='MCB Policy'!AO18,'gevaarljike stoffen'!$B$11='MCB Policy'!AO19,'gevaarljike stoffen'!$B$11='MCB Policy'!AO20,'gevaarljike stoffen'!$B$11='MCB Policy'!AO21,'gevaarljike stoffen'!$B$11='MCB Policy'!AO22,)</f>
        <v>0</v>
      </c>
      <c r="AP25" s="201" t="b">
        <f>OR('gevaarljike stoffen'!$B$11='MCB Policy'!AP7,'gevaarljike stoffen'!$B$11='MCB Policy'!AP8,'gevaarljike stoffen'!$B$11='MCB Policy'!AP9,'gevaarljike stoffen'!$B$11='MCB Policy'!AP10,'gevaarljike stoffen'!$B$11='MCB Policy'!AP11,'gevaarljike stoffen'!$B$11='MCB Policy'!AP12,'gevaarljike stoffen'!$B$11='MCB Policy'!AP13,'gevaarljike stoffen'!$B$11='MCB Policy'!AP14,'gevaarljike stoffen'!$B$11='MCB Policy'!AP15,'gevaarljike stoffen'!$B$11='MCB Policy'!AP16,'gevaarljike stoffen'!$B$11='MCB Policy'!AP17,'gevaarljike stoffen'!$B$11='MCB Policy'!AP18,'gevaarljike stoffen'!$B$11='MCB Policy'!AP19,'gevaarljike stoffen'!$B$11='MCB Policy'!AP20,'gevaarljike stoffen'!$B$11='MCB Policy'!AP21,'gevaarljike stoffen'!$B$11='MCB Policy'!AP22,)</f>
        <v>0</v>
      </c>
      <c r="AQ25" s="201" t="b">
        <f>OR('gevaarljike stoffen'!$B$11='MCB Policy'!AQ7,'gevaarljike stoffen'!$B$11='MCB Policy'!AQ8,'gevaarljike stoffen'!$B$11='MCB Policy'!AQ9,'gevaarljike stoffen'!$B$11='MCB Policy'!AQ10,'gevaarljike stoffen'!$B$11='MCB Policy'!AQ11,'gevaarljike stoffen'!$B$11='MCB Policy'!AQ12,'gevaarljike stoffen'!$B$11='MCB Policy'!AQ13,'gevaarljike stoffen'!$B$11='MCB Policy'!AQ14,'gevaarljike stoffen'!$B$11='MCB Policy'!AQ15,'gevaarljike stoffen'!$B$11='MCB Policy'!AQ16,'gevaarljike stoffen'!$B$11='MCB Policy'!AQ17,'gevaarljike stoffen'!$B$11='MCB Policy'!AQ18,'gevaarljike stoffen'!$B$11='MCB Policy'!AQ19,'gevaarljike stoffen'!$B$11='MCB Policy'!AQ20,'gevaarljike stoffen'!$B$11='MCB Policy'!AQ21,'gevaarljike stoffen'!$B$11='MCB Policy'!AQ22,)</f>
        <v>0</v>
      </c>
      <c r="AR25" s="201" t="b">
        <f>OR('gevaarljike stoffen'!$B$11='MCB Policy'!AR7,'gevaarljike stoffen'!$B$11='MCB Policy'!AR8,'gevaarljike stoffen'!$B$11='MCB Policy'!AR9,'gevaarljike stoffen'!$B$11='MCB Policy'!AR10,'gevaarljike stoffen'!$B$11='MCB Policy'!AR11,'gevaarljike stoffen'!$B$11='MCB Policy'!AR12,'gevaarljike stoffen'!$B$11='MCB Policy'!AR13,'gevaarljike stoffen'!$B$11='MCB Policy'!AR14,'gevaarljike stoffen'!$B$11='MCB Policy'!AR15,'gevaarljike stoffen'!$B$11='MCB Policy'!AR16,'gevaarljike stoffen'!$B$11='MCB Policy'!AR17,'gevaarljike stoffen'!$B$11='MCB Policy'!AR18,'gevaarljike stoffen'!$B$11='MCB Policy'!AR19,'gevaarljike stoffen'!$B$11='MCB Policy'!AR20,'gevaarljike stoffen'!$B$11='MCB Policy'!AR21,'gevaarljike stoffen'!$B$11='MCB Policy'!AR22,)</f>
        <v>0</v>
      </c>
      <c r="AS25" s="201" t="b">
        <f>OR('gevaarljike stoffen'!$B$11='MCB Policy'!AS7,'gevaarljike stoffen'!$B$11='MCB Policy'!AS8,'gevaarljike stoffen'!$B$11='MCB Policy'!AS9,'gevaarljike stoffen'!$B$11='MCB Policy'!AS10,'gevaarljike stoffen'!$B$11='MCB Policy'!AS11,'gevaarljike stoffen'!$B$11='MCB Policy'!AS12,'gevaarljike stoffen'!$B$11='MCB Policy'!AS13,'gevaarljike stoffen'!$B$11='MCB Policy'!AS14,'gevaarljike stoffen'!$B$11='MCB Policy'!AS15,'gevaarljike stoffen'!$B$11='MCB Policy'!AS16,'gevaarljike stoffen'!$B$11='MCB Policy'!AS17,'gevaarljike stoffen'!$B$11='MCB Policy'!AS18,'gevaarljike stoffen'!$B$11='MCB Policy'!AS19,'gevaarljike stoffen'!$B$11='MCB Policy'!AS20,'gevaarljike stoffen'!$B$11='MCB Policy'!AS21,'gevaarljike stoffen'!$B$11='MCB Policy'!AS22,)</f>
        <v>0</v>
      </c>
      <c r="AT25" s="201" t="b">
        <f>OR('gevaarljike stoffen'!$B$11='MCB Policy'!AT7,'gevaarljike stoffen'!$B$11='MCB Policy'!AT8,'gevaarljike stoffen'!$B$11='MCB Policy'!AT9,'gevaarljike stoffen'!$B$11='MCB Policy'!AT10,'gevaarljike stoffen'!$B$11='MCB Policy'!AT11,'gevaarljike stoffen'!$B$11='MCB Policy'!AT12,'gevaarljike stoffen'!$B$11='MCB Policy'!AT13,'gevaarljike stoffen'!$B$11='MCB Policy'!AT14,'gevaarljike stoffen'!$B$11='MCB Policy'!AT15,'gevaarljike stoffen'!$B$11='MCB Policy'!AT16,'gevaarljike stoffen'!$B$11='MCB Policy'!AT17,'gevaarljike stoffen'!$B$11='MCB Policy'!AT18,'gevaarljike stoffen'!$B$11='MCB Policy'!AT19,'gevaarljike stoffen'!$B$11='MCB Policy'!AT20,'gevaarljike stoffen'!$B$11='MCB Policy'!AT21,'gevaarljike stoffen'!$B$11='MCB Policy'!AT22,)</f>
        <v>0</v>
      </c>
      <c r="AU25" s="201" t="b">
        <f>OR('gevaarljike stoffen'!$B$11='MCB Policy'!AU7,'gevaarljike stoffen'!$B$11='MCB Policy'!AU8,'gevaarljike stoffen'!$B$11='MCB Policy'!AU9,'gevaarljike stoffen'!$B$11='MCB Policy'!AU10,'gevaarljike stoffen'!$B$11='MCB Policy'!AU11,'gevaarljike stoffen'!$B$11='MCB Policy'!AU12,'gevaarljike stoffen'!$B$11='MCB Policy'!AU13,'gevaarljike stoffen'!$B$11='MCB Policy'!AU14,'gevaarljike stoffen'!$B$11='MCB Policy'!AU15,'gevaarljike stoffen'!$B$11='MCB Policy'!AU16,'gevaarljike stoffen'!$B$11='MCB Policy'!AU17,'gevaarljike stoffen'!$B$11='MCB Policy'!AU18,'gevaarljike stoffen'!$B$11='MCB Policy'!AU19,'gevaarljike stoffen'!$B$11='MCB Policy'!AU20,'gevaarljike stoffen'!$B$11='MCB Policy'!AU21,'gevaarljike stoffen'!$B$11='MCB Policy'!AU22,)</f>
        <v>0</v>
      </c>
      <c r="AV25" s="201" t="b">
        <f>OR('gevaarljike stoffen'!$B$11='MCB Policy'!AV7,'gevaarljike stoffen'!$B$11='MCB Policy'!AV8,'gevaarljike stoffen'!$B$11='MCB Policy'!AV9,'gevaarljike stoffen'!$B$11='MCB Policy'!AV10,'gevaarljike stoffen'!$B$11='MCB Policy'!AV11,'gevaarljike stoffen'!$B$11='MCB Policy'!AV12,'gevaarljike stoffen'!$B$11='MCB Policy'!AV13,'gevaarljike stoffen'!$B$11='MCB Policy'!AV14,'gevaarljike stoffen'!$B$11='MCB Policy'!AV15,'gevaarljike stoffen'!$B$11='MCB Policy'!AV16,'gevaarljike stoffen'!$B$11='MCB Policy'!AV17,'gevaarljike stoffen'!$B$11='MCB Policy'!AV18,'gevaarljike stoffen'!$B$11='MCB Policy'!AV19,'gevaarljike stoffen'!$B$11='MCB Policy'!AV20,'gevaarljike stoffen'!$B$11='MCB Policy'!AV21,'gevaarljike stoffen'!$B$11='MCB Policy'!AV22,)</f>
        <v>0</v>
      </c>
      <c r="AW25" s="201" t="b">
        <f>OR('gevaarljike stoffen'!$B$11='MCB Policy'!AW7,'gevaarljike stoffen'!$B$11='MCB Policy'!AW8,'gevaarljike stoffen'!$B$11='MCB Policy'!AW9,'gevaarljike stoffen'!$B$11='MCB Policy'!AW10,'gevaarljike stoffen'!$B$11='MCB Policy'!AW11,'gevaarljike stoffen'!$B$11='MCB Policy'!AW12,'gevaarljike stoffen'!$B$11='MCB Policy'!AW13,'gevaarljike stoffen'!$B$11='MCB Policy'!AW14,'gevaarljike stoffen'!$B$11='MCB Policy'!AW15,'gevaarljike stoffen'!$B$11='MCB Policy'!AW16,'gevaarljike stoffen'!$B$11='MCB Policy'!AW17,'gevaarljike stoffen'!$B$11='MCB Policy'!AW18,'gevaarljike stoffen'!$B$11='MCB Policy'!AW19,'gevaarljike stoffen'!$B$11='MCB Policy'!AW20,'gevaarljike stoffen'!$B$11='MCB Policy'!AW21,'gevaarljike stoffen'!$B$11='MCB Policy'!AW22,)</f>
        <v>0</v>
      </c>
      <c r="AX25" s="201" t="b">
        <f>OR('gevaarljike stoffen'!$B$11='MCB Policy'!AX7,'gevaarljike stoffen'!$B$11='MCB Policy'!AX8,'gevaarljike stoffen'!$B$11='MCB Policy'!AX9,'gevaarljike stoffen'!$B$11='MCB Policy'!AX10,'gevaarljike stoffen'!$B$11='MCB Policy'!AX11,'gevaarljike stoffen'!$B$11='MCB Policy'!AX12,'gevaarljike stoffen'!$B$11='MCB Policy'!AX13,'gevaarljike stoffen'!$B$11='MCB Policy'!AX14,'gevaarljike stoffen'!$B$11='MCB Policy'!AX15,'gevaarljike stoffen'!$B$11='MCB Policy'!AX16,'gevaarljike stoffen'!$B$11='MCB Policy'!AX17,'gevaarljike stoffen'!$B$11='MCB Policy'!AX18,'gevaarljike stoffen'!$B$11='MCB Policy'!AX19,'gevaarljike stoffen'!$B$11='MCB Policy'!AX20,'gevaarljike stoffen'!$B$11='MCB Policy'!AX21,'gevaarljike stoffen'!$B$11='MCB Policy'!AX22,)</f>
        <v>0</v>
      </c>
      <c r="AY25" s="201" t="b">
        <f>OR('gevaarljike stoffen'!$B$11='MCB Policy'!AY7,'gevaarljike stoffen'!$B$11='MCB Policy'!AY8,'gevaarljike stoffen'!$B$11='MCB Policy'!AY9,'gevaarljike stoffen'!$B$11='MCB Policy'!AY10,'gevaarljike stoffen'!$B$11='MCB Policy'!AY11,'gevaarljike stoffen'!$B$11='MCB Policy'!AY12,'gevaarljike stoffen'!$B$11='MCB Policy'!AY13,'gevaarljike stoffen'!$B$11='MCB Policy'!AY14,'gevaarljike stoffen'!$B$11='MCB Policy'!AY15,'gevaarljike stoffen'!$B$11='MCB Policy'!AY16,'gevaarljike stoffen'!$B$11='MCB Policy'!AY17,'gevaarljike stoffen'!$B$11='MCB Policy'!AY18,'gevaarljike stoffen'!$B$11='MCB Policy'!AY19,'gevaarljike stoffen'!$B$11='MCB Policy'!AY20,'gevaarljike stoffen'!$B$11='MCB Policy'!AY21,'gevaarljike stoffen'!$B$11='MCB Policy'!AY22,)</f>
        <v>0</v>
      </c>
      <c r="AZ25" s="201" t="b">
        <f>OR('gevaarljike stoffen'!$B$11='MCB Policy'!AZ7,'gevaarljike stoffen'!$B$11='MCB Policy'!AZ8,'gevaarljike stoffen'!$B$11='MCB Policy'!AZ9,'gevaarljike stoffen'!$B$11='MCB Policy'!AZ10,'gevaarljike stoffen'!$B$11='MCB Policy'!AZ11,'gevaarljike stoffen'!$B$11='MCB Policy'!AZ12,'gevaarljike stoffen'!$B$11='MCB Policy'!AZ13,'gevaarljike stoffen'!$B$11='MCB Policy'!AZ14,'gevaarljike stoffen'!$B$11='MCB Policy'!AZ15,'gevaarljike stoffen'!$B$11='MCB Policy'!AZ16,'gevaarljike stoffen'!$B$11='MCB Policy'!AZ17,'gevaarljike stoffen'!$B$11='MCB Policy'!AZ18,'gevaarljike stoffen'!$B$11='MCB Policy'!AZ19,'gevaarljike stoffen'!$B$11='MCB Policy'!AZ20,'gevaarljike stoffen'!$B$11='MCB Policy'!AZ21,'gevaarljike stoffen'!$B$11='MCB Policy'!AZ22,)</f>
        <v>0</v>
      </c>
      <c r="BA25" s="201" t="b">
        <f>OR('gevaarljike stoffen'!$B$11='MCB Policy'!BA7,'gevaarljike stoffen'!$B$11='MCB Policy'!BA8,'gevaarljike stoffen'!$B$11='MCB Policy'!BA9,'gevaarljike stoffen'!$B$11='MCB Policy'!BA10,'gevaarljike stoffen'!$B$11='MCB Policy'!BA11,'gevaarljike stoffen'!$B$11='MCB Policy'!BA12,'gevaarljike stoffen'!$B$11='MCB Policy'!BA13,'gevaarljike stoffen'!$B$11='MCB Policy'!BA14,'gevaarljike stoffen'!$B$11='MCB Policy'!BA15,'gevaarljike stoffen'!$B$11='MCB Policy'!BA16,'gevaarljike stoffen'!$B$11='MCB Policy'!BA17,'gevaarljike stoffen'!$B$11='MCB Policy'!BA18,'gevaarljike stoffen'!$B$11='MCB Policy'!BA19,'gevaarljike stoffen'!$B$11='MCB Policy'!BA20,'gevaarljike stoffen'!$B$11='MCB Policy'!BA21,'gevaarljike stoffen'!$B$11='MCB Policy'!BA22,)</f>
        <v>0</v>
      </c>
      <c r="BB25" s="201" t="b">
        <f>OR('gevaarljike stoffen'!$B$11='MCB Policy'!BB7,'gevaarljike stoffen'!$B$11='MCB Policy'!BB8,'gevaarljike stoffen'!$B$11='MCB Policy'!BB9,'gevaarljike stoffen'!$B$11='MCB Policy'!BB10,'gevaarljike stoffen'!$B$11='MCB Policy'!BB11,'gevaarljike stoffen'!$B$11='MCB Policy'!BB12,'gevaarljike stoffen'!$B$11='MCB Policy'!BB13,'gevaarljike stoffen'!$B$11='MCB Policy'!BB14,'gevaarljike stoffen'!$B$11='MCB Policy'!BB15,'gevaarljike stoffen'!$B$11='MCB Policy'!BB16,'gevaarljike stoffen'!$B$11='MCB Policy'!BB17,'gevaarljike stoffen'!$B$11='MCB Policy'!BB18,'gevaarljike stoffen'!$B$11='MCB Policy'!BB19,'gevaarljike stoffen'!$B$11='MCB Policy'!BB20,'gevaarljike stoffen'!$B$11='MCB Policy'!BB21,'gevaarljike stoffen'!$B$11='MCB Policy'!BB22,)</f>
        <v>1</v>
      </c>
      <c r="BC25" s="201" t="b">
        <f>OR('gevaarljike stoffen'!$B$11='MCB Policy'!BC7,'gevaarljike stoffen'!$B$11='MCB Policy'!BC8,'gevaarljike stoffen'!$B$11='MCB Policy'!BC9,'gevaarljike stoffen'!$B$11='MCB Policy'!BC10,'gevaarljike stoffen'!$B$11='MCB Policy'!BC11,'gevaarljike stoffen'!$B$11='MCB Policy'!BC12,'gevaarljike stoffen'!$B$11='MCB Policy'!BC13,'gevaarljike stoffen'!$B$11='MCB Policy'!BC14,'gevaarljike stoffen'!$B$11='MCB Policy'!BC15,'gevaarljike stoffen'!$B$11='MCB Policy'!BC16,'gevaarljike stoffen'!$B$11='MCB Policy'!BC17,'gevaarljike stoffen'!$B$11='MCB Policy'!BC18,'gevaarljike stoffen'!$B$11='MCB Policy'!BC19,'gevaarljike stoffen'!$B$11='MCB Policy'!BC20,'gevaarljike stoffen'!$B$11='MCB Policy'!BC21,'gevaarljike stoffen'!$B$11='MCB Policy'!BC22,)</f>
        <v>0</v>
      </c>
      <c r="BD25" s="201" t="b">
        <f>OR('gevaarljike stoffen'!$B$11='MCB Policy'!BD7,'gevaarljike stoffen'!$B$11='MCB Policy'!BD8,'gevaarljike stoffen'!$B$11='MCB Policy'!BD9,'gevaarljike stoffen'!$B$11='MCB Policy'!BD10,'gevaarljike stoffen'!$B$11='MCB Policy'!BD11,'gevaarljike stoffen'!$B$11='MCB Policy'!BD12,'gevaarljike stoffen'!$B$11='MCB Policy'!BD13,'gevaarljike stoffen'!$B$11='MCB Policy'!BD14,'gevaarljike stoffen'!$B$11='MCB Policy'!BD15,'gevaarljike stoffen'!$B$11='MCB Policy'!BD16,'gevaarljike stoffen'!$B$11='MCB Policy'!BD17,'gevaarljike stoffen'!$B$11='MCB Policy'!BD18,'gevaarljike stoffen'!$B$11='MCB Policy'!BD19,'gevaarljike stoffen'!$B$11='MCB Policy'!BD20,'gevaarljike stoffen'!$B$11='MCB Policy'!BD21,'gevaarljike stoffen'!$B$11='MCB Policy'!BD22,)</f>
        <v>0</v>
      </c>
      <c r="BE25" s="201" t="b">
        <f>OR('gevaarljike stoffen'!$B$11='MCB Policy'!BE7,'gevaarljike stoffen'!$B$11='MCB Policy'!BE8,'gevaarljike stoffen'!$B$11='MCB Policy'!BE9,'gevaarljike stoffen'!$B$11='MCB Policy'!BE10,'gevaarljike stoffen'!$B$11='MCB Policy'!BE11,'gevaarljike stoffen'!$B$11='MCB Policy'!BE12,'gevaarljike stoffen'!$B$11='MCB Policy'!BE13,'gevaarljike stoffen'!$B$11='MCB Policy'!BE14,'gevaarljike stoffen'!$B$11='MCB Policy'!BE15,'gevaarljike stoffen'!$B$11='MCB Policy'!BE16,'gevaarljike stoffen'!$B$11='MCB Policy'!BE17,'gevaarljike stoffen'!$B$11='MCB Policy'!BE18,'gevaarljike stoffen'!$B$11='MCB Policy'!BE19,'gevaarljike stoffen'!$B$11='MCB Policy'!BE20,'gevaarljike stoffen'!$B$11='MCB Policy'!BE21,'gevaarljike stoffen'!$B$11='MCB Policy'!BE22,)</f>
        <v>0</v>
      </c>
      <c r="BF25" s="201" t="b">
        <f>OR('gevaarljike stoffen'!$B$11='MCB Policy'!BF7,'gevaarljike stoffen'!$B$11='MCB Policy'!BF8,'gevaarljike stoffen'!$B$11='MCB Policy'!BF9,'gevaarljike stoffen'!$B$11='MCB Policy'!BF10,'gevaarljike stoffen'!$B$11='MCB Policy'!BF11,'gevaarljike stoffen'!$B$11='MCB Policy'!BF12,'gevaarljike stoffen'!$B$11='MCB Policy'!BF13,'gevaarljike stoffen'!$B$11='MCB Policy'!BF14,'gevaarljike stoffen'!$B$11='MCB Policy'!BF15,'gevaarljike stoffen'!$B$11='MCB Policy'!BF16,'gevaarljike stoffen'!$B$11='MCB Policy'!BF17,'gevaarljike stoffen'!$B$11='MCB Policy'!BF18,'gevaarljike stoffen'!$B$11='MCB Policy'!BF19,'gevaarljike stoffen'!$B$11='MCB Policy'!BF20,'gevaarljike stoffen'!$B$11='MCB Policy'!BF21,'gevaarljike stoffen'!$B$11='MCB Policy'!BF22,)</f>
        <v>0</v>
      </c>
      <c r="BG25" s="201" t="b">
        <f>OR('gevaarljike stoffen'!$B$11='MCB Policy'!BG7,'gevaarljike stoffen'!$B$11='MCB Policy'!BG8,'gevaarljike stoffen'!$B$11='MCB Policy'!BG9,'gevaarljike stoffen'!$B$11='MCB Policy'!BG10,'gevaarljike stoffen'!$B$11='MCB Policy'!BG11,'gevaarljike stoffen'!$B$11='MCB Policy'!BG12,'gevaarljike stoffen'!$B$11='MCB Policy'!BG13,'gevaarljike stoffen'!$B$11='MCB Policy'!BG14,'gevaarljike stoffen'!$B$11='MCB Policy'!BG15,'gevaarljike stoffen'!$B$11='MCB Policy'!BG16,'gevaarljike stoffen'!$B$11='MCB Policy'!BG17,'gevaarljike stoffen'!$B$11='MCB Policy'!BG18,'gevaarljike stoffen'!$B$11='MCB Policy'!BG19,'gevaarljike stoffen'!$B$11='MCB Policy'!BG20,'gevaarljike stoffen'!$B$11='MCB Policy'!BG21,'gevaarljike stoffen'!$B$11='MCB Policy'!BG22,)</f>
        <v>0</v>
      </c>
      <c r="BH25" s="201" t="b">
        <f>OR('gevaarljike stoffen'!$B$11='MCB Policy'!BH7,'gevaarljike stoffen'!$B$11='MCB Policy'!BH8,'gevaarljike stoffen'!$B$11='MCB Policy'!BH9,'gevaarljike stoffen'!$B$11='MCB Policy'!BH10,'gevaarljike stoffen'!$B$11='MCB Policy'!BH11,'gevaarljike stoffen'!$B$11='MCB Policy'!BH12,'gevaarljike stoffen'!$B$11='MCB Policy'!BH13,'gevaarljike stoffen'!$B$11='MCB Policy'!BH14,'gevaarljike stoffen'!$B$11='MCB Policy'!BH15,'gevaarljike stoffen'!$B$11='MCB Policy'!BH16,'gevaarljike stoffen'!$B$11='MCB Policy'!BH17,'gevaarljike stoffen'!$B$11='MCB Policy'!BH18,'gevaarljike stoffen'!$B$11='MCB Policy'!BH19,'gevaarljike stoffen'!$B$11='MCB Policy'!BH20,'gevaarljike stoffen'!$B$11='MCB Policy'!BH21,'gevaarljike stoffen'!$B$11='MCB Policy'!BH22,)</f>
        <v>1</v>
      </c>
      <c r="BI25" s="201" t="b">
        <f>OR('gevaarljike stoffen'!$B$11='MCB Policy'!BI7,'gevaarljike stoffen'!$B$11='MCB Policy'!BI8,'gevaarljike stoffen'!$B$11='MCB Policy'!BI9,'gevaarljike stoffen'!$B$11='MCB Policy'!BI10,'gevaarljike stoffen'!$B$11='MCB Policy'!BI11,'gevaarljike stoffen'!$B$11='MCB Policy'!BI12,'gevaarljike stoffen'!$B$11='MCB Policy'!BI13,'gevaarljike stoffen'!$B$11='MCB Policy'!BI14,'gevaarljike stoffen'!$B$11='MCB Policy'!BI15,'gevaarljike stoffen'!$B$11='MCB Policy'!BI16,'gevaarljike stoffen'!$B$11='MCB Policy'!BI17,'gevaarljike stoffen'!$B$11='MCB Policy'!BI18,'gevaarljike stoffen'!$B$11='MCB Policy'!BI19,'gevaarljike stoffen'!$B$11='MCB Policy'!BI20,'gevaarljike stoffen'!$B$11='MCB Policy'!BI21,'gevaarljike stoffen'!$B$11='MCB Policy'!BI22,)</f>
        <v>0</v>
      </c>
      <c r="BJ25" s="201" t="b">
        <f>OR('gevaarljike stoffen'!$B$11='MCB Policy'!BJ7,'gevaarljike stoffen'!$B$11='MCB Policy'!BJ8,'gevaarljike stoffen'!$B$11='MCB Policy'!BJ9,'gevaarljike stoffen'!$B$11='MCB Policy'!BJ10,'gevaarljike stoffen'!$B$11='MCB Policy'!BJ11,'gevaarljike stoffen'!$B$11='MCB Policy'!BJ12,'gevaarljike stoffen'!$B$11='MCB Policy'!BJ13,'gevaarljike stoffen'!$B$11='MCB Policy'!BJ14,'gevaarljike stoffen'!$B$11='MCB Policy'!BJ15,'gevaarljike stoffen'!$B$11='MCB Policy'!BJ16,'gevaarljike stoffen'!$B$11='MCB Policy'!BJ17,'gevaarljike stoffen'!$B$11='MCB Policy'!BJ18,'gevaarljike stoffen'!$B$11='MCB Policy'!BJ19,'gevaarljike stoffen'!$B$11='MCB Policy'!BJ20,'gevaarljike stoffen'!$B$11='MCB Policy'!BJ21,'gevaarljike stoffen'!$B$11='MCB Policy'!BJ22,)</f>
        <v>0</v>
      </c>
      <c r="BK25" s="201" t="b">
        <f>OR('gevaarljike stoffen'!$B$11='MCB Policy'!BK7,'gevaarljike stoffen'!$B$11='MCB Policy'!BK8,'gevaarljike stoffen'!$B$11='MCB Policy'!BK9,'gevaarljike stoffen'!$B$11='MCB Policy'!BK10,'gevaarljike stoffen'!$B$11='MCB Policy'!BK11,'gevaarljike stoffen'!$B$11='MCB Policy'!BK12,'gevaarljike stoffen'!$B$11='MCB Policy'!BK13,'gevaarljike stoffen'!$B$11='MCB Policy'!BK14,'gevaarljike stoffen'!$B$11='MCB Policy'!BK15,'gevaarljike stoffen'!$B$11='MCB Policy'!BK16,'gevaarljike stoffen'!$B$11='MCB Policy'!BK17,'gevaarljike stoffen'!$B$11='MCB Policy'!BK18,'gevaarljike stoffen'!$B$11='MCB Policy'!BK19,'gevaarljike stoffen'!$B$11='MCB Policy'!BK20,'gevaarljike stoffen'!$B$11='MCB Policy'!BK21,'gevaarljike stoffen'!$B$11='MCB Policy'!BK22,)</f>
        <v>0</v>
      </c>
      <c r="BL25" s="201" t="b">
        <f>OR('gevaarljike stoffen'!$B$11='MCB Policy'!BL7,'gevaarljike stoffen'!$B$11='MCB Policy'!BL8,'gevaarljike stoffen'!$B$11='MCB Policy'!BL9,'gevaarljike stoffen'!$B$11='MCB Policy'!BL10,'gevaarljike stoffen'!$B$11='MCB Policy'!BL11,'gevaarljike stoffen'!$B$11='MCB Policy'!BL12,'gevaarljike stoffen'!$B$11='MCB Policy'!BL13,'gevaarljike stoffen'!$B$11='MCB Policy'!BL14,'gevaarljike stoffen'!$B$11='MCB Policy'!BL15,'gevaarljike stoffen'!$B$11='MCB Policy'!BL16,'gevaarljike stoffen'!$B$11='MCB Policy'!BL17,'gevaarljike stoffen'!$B$11='MCB Policy'!BL18,'gevaarljike stoffen'!$B$11='MCB Policy'!BL19,'gevaarljike stoffen'!$B$11='MCB Policy'!BL20,'gevaarljike stoffen'!$B$11='MCB Policy'!BL21,'gevaarljike stoffen'!$B$11='MCB Policy'!BL22,)</f>
        <v>0</v>
      </c>
      <c r="BM25" s="201" t="b">
        <f>OR('gevaarljike stoffen'!$B$11='MCB Policy'!BM7,'gevaarljike stoffen'!$B$11='MCB Policy'!BM8,'gevaarljike stoffen'!$B$11='MCB Policy'!BM9,'gevaarljike stoffen'!$B$11='MCB Policy'!BM10,'gevaarljike stoffen'!$B$11='MCB Policy'!BM11,'gevaarljike stoffen'!$B$11='MCB Policy'!BM12,'gevaarljike stoffen'!$B$11='MCB Policy'!BM13,'gevaarljike stoffen'!$B$11='MCB Policy'!BM14,'gevaarljike stoffen'!$B$11='MCB Policy'!BM15,'gevaarljike stoffen'!$B$11='MCB Policy'!BM16,'gevaarljike stoffen'!$B$11='MCB Policy'!BM17,'gevaarljike stoffen'!$B$11='MCB Policy'!BM18,'gevaarljike stoffen'!$B$11='MCB Policy'!BM19,'gevaarljike stoffen'!$B$11='MCB Policy'!BM20,'gevaarljike stoffen'!$B$11='MCB Policy'!BM21,'gevaarljike stoffen'!$B$11='MCB Policy'!BM22,)</f>
        <v>0</v>
      </c>
      <c r="BN25" s="201" t="b">
        <f>OR('gevaarljike stoffen'!$B$11='MCB Policy'!BN7,'gevaarljike stoffen'!$B$11='MCB Policy'!BN8,'gevaarljike stoffen'!$B$11='MCB Policy'!BN9,'gevaarljike stoffen'!$B$11='MCB Policy'!BN10,'gevaarljike stoffen'!$B$11='MCB Policy'!BN11,'gevaarljike stoffen'!$B$11='MCB Policy'!BN12,'gevaarljike stoffen'!$B$11='MCB Policy'!BN13,'gevaarljike stoffen'!$B$11='MCB Policy'!BN14,'gevaarljike stoffen'!$B$11='MCB Policy'!BN15,'gevaarljike stoffen'!$B$11='MCB Policy'!BN16,'gevaarljike stoffen'!$B$11='MCB Policy'!BN17,'gevaarljike stoffen'!$B$11='MCB Policy'!BN18,'gevaarljike stoffen'!$B$11='MCB Policy'!BN19,'gevaarljike stoffen'!$B$11='MCB Policy'!BN20,'gevaarljike stoffen'!$B$11='MCB Policy'!BN21,'gevaarljike stoffen'!$B$11='MCB Policy'!BN22,)</f>
        <v>0</v>
      </c>
      <c r="BO25" s="201" t="b">
        <f>OR('gevaarljike stoffen'!$B$11='MCB Policy'!BO7,'gevaarljike stoffen'!$B$11='MCB Policy'!BO8,'gevaarljike stoffen'!$B$11='MCB Policy'!BO9,'gevaarljike stoffen'!$B$11='MCB Policy'!BO10,'gevaarljike stoffen'!$B$11='MCB Policy'!BO11,'gevaarljike stoffen'!$B$11='MCB Policy'!BO12,'gevaarljike stoffen'!$B$11='MCB Policy'!BO13,'gevaarljike stoffen'!$B$11='MCB Policy'!BO14,'gevaarljike stoffen'!$B$11='MCB Policy'!BO15,'gevaarljike stoffen'!$B$11='MCB Policy'!BO16,'gevaarljike stoffen'!$B$11='MCB Policy'!BO17,'gevaarljike stoffen'!$B$11='MCB Policy'!BO18,'gevaarljike stoffen'!$B$11='MCB Policy'!BO19,'gevaarljike stoffen'!$B$11='MCB Policy'!BO20,'gevaarljike stoffen'!$B$11='MCB Policy'!BO21,'gevaarljike stoffen'!$B$11='MCB Policy'!BO22,)</f>
        <v>0</v>
      </c>
      <c r="BP25" s="201" t="b">
        <f>OR('gevaarljike stoffen'!$B$11='MCB Policy'!BP7,'gevaarljike stoffen'!$B$11='MCB Policy'!BP8,'gevaarljike stoffen'!$B$11='MCB Policy'!BP9,'gevaarljike stoffen'!$B$11='MCB Policy'!BP10,'gevaarljike stoffen'!$B$11='MCB Policy'!BP11,'gevaarljike stoffen'!$B$11='MCB Policy'!BP12,'gevaarljike stoffen'!$B$11='MCB Policy'!BP13,'gevaarljike stoffen'!$B$11='MCB Policy'!BP14,'gevaarljike stoffen'!$B$11='MCB Policy'!BP15,'gevaarljike stoffen'!$B$11='MCB Policy'!BP16,'gevaarljike stoffen'!$B$11='MCB Policy'!BP17,'gevaarljike stoffen'!$B$11='MCB Policy'!BP18,'gevaarljike stoffen'!$B$11='MCB Policy'!BP19,'gevaarljike stoffen'!$B$11='MCB Policy'!BP20,'gevaarljike stoffen'!$B$11='MCB Policy'!BP21,'gevaarljike stoffen'!$B$11='MCB Policy'!BP22,)</f>
        <v>0</v>
      </c>
      <c r="BQ25" s="201" t="b">
        <f>OR('gevaarljike stoffen'!$B$11='MCB Policy'!BQ7,'gevaarljike stoffen'!$B$11='MCB Policy'!BQ8,'gevaarljike stoffen'!$B$11='MCB Policy'!BQ9,'gevaarljike stoffen'!$B$11='MCB Policy'!BQ10,'gevaarljike stoffen'!$B$11='MCB Policy'!BQ11,'gevaarljike stoffen'!$B$11='MCB Policy'!BQ12,'gevaarljike stoffen'!$B$11='MCB Policy'!BQ13,'gevaarljike stoffen'!$B$11='MCB Policy'!BQ14,'gevaarljike stoffen'!$B$11='MCB Policy'!BQ15,'gevaarljike stoffen'!$B$11='MCB Policy'!BQ16,'gevaarljike stoffen'!$B$11='MCB Policy'!BQ17,'gevaarljike stoffen'!$B$11='MCB Policy'!BQ18,'gevaarljike stoffen'!$B$11='MCB Policy'!BQ19,'gevaarljike stoffen'!$B$11='MCB Policy'!BQ20,'gevaarljike stoffen'!$B$11='MCB Policy'!BQ21,'gevaarljike stoffen'!$B$11='MCB Policy'!BQ22,)</f>
        <v>1</v>
      </c>
      <c r="BR25" s="201" t="b">
        <f>OR('gevaarljike stoffen'!$B$11='MCB Policy'!BR7,'gevaarljike stoffen'!$B$11='MCB Policy'!BR8,'gevaarljike stoffen'!$B$11='MCB Policy'!BR9,'gevaarljike stoffen'!$B$11='MCB Policy'!BR10,'gevaarljike stoffen'!$B$11='MCB Policy'!BR11,'gevaarljike stoffen'!$B$11='MCB Policy'!BR12,'gevaarljike stoffen'!$B$11='MCB Policy'!BR13,'gevaarljike stoffen'!$B$11='MCB Policy'!BR14,'gevaarljike stoffen'!$B$11='MCB Policy'!BR15,'gevaarljike stoffen'!$B$11='MCB Policy'!BR16,'gevaarljike stoffen'!$B$11='MCB Policy'!BR17,'gevaarljike stoffen'!$B$11='MCB Policy'!BR18,'gevaarljike stoffen'!$B$11='MCB Policy'!BR19,'gevaarljike stoffen'!$B$11='MCB Policy'!BR20,'gevaarljike stoffen'!$B$11='MCB Policy'!BR21,'gevaarljike stoffen'!$B$11='MCB Policy'!BR22,)</f>
        <v>0</v>
      </c>
      <c r="BS25" s="201" t="b">
        <f>OR('gevaarljike stoffen'!$B$11='MCB Policy'!BS7,'gevaarljike stoffen'!$B$11='MCB Policy'!BS8,'gevaarljike stoffen'!$B$11='MCB Policy'!BS9,'gevaarljike stoffen'!$B$11='MCB Policy'!BS10,'gevaarljike stoffen'!$B$11='MCB Policy'!BS11,'gevaarljike stoffen'!$B$11='MCB Policy'!BS12,'gevaarljike stoffen'!$B$11='MCB Policy'!BS13,'gevaarljike stoffen'!$B$11='MCB Policy'!BS14,'gevaarljike stoffen'!$B$11='MCB Policy'!BS15,'gevaarljike stoffen'!$B$11='MCB Policy'!BS16,'gevaarljike stoffen'!$B$11='MCB Policy'!BS17,'gevaarljike stoffen'!$B$11='MCB Policy'!BS18,'gevaarljike stoffen'!$B$11='MCB Policy'!BS19,'gevaarljike stoffen'!$B$11='MCB Policy'!BS20,'gevaarljike stoffen'!$B$11='MCB Policy'!BS21,'gevaarljike stoffen'!$B$11='MCB Policy'!BS22,)</f>
        <v>0</v>
      </c>
      <c r="BT25" s="201" t="b">
        <f>OR('gevaarljike stoffen'!$B$11='MCB Policy'!BT7,'gevaarljike stoffen'!$B$11='MCB Policy'!BT8,'gevaarljike stoffen'!$B$11='MCB Policy'!BT9,'gevaarljike stoffen'!$B$11='MCB Policy'!BT10,'gevaarljike stoffen'!$B$11='MCB Policy'!BT11,'gevaarljike stoffen'!$B$11='MCB Policy'!BT12,'gevaarljike stoffen'!$B$11='MCB Policy'!BT13,'gevaarljike stoffen'!$B$11='MCB Policy'!BT14,'gevaarljike stoffen'!$B$11='MCB Policy'!BT15,'gevaarljike stoffen'!$B$11='MCB Policy'!BT16,'gevaarljike stoffen'!$B$11='MCB Policy'!BT17,'gevaarljike stoffen'!$B$11='MCB Policy'!BT18,'gevaarljike stoffen'!$B$11='MCB Policy'!BT19,'gevaarljike stoffen'!$B$11='MCB Policy'!BT20,'gevaarljike stoffen'!$B$11='MCB Policy'!BT21,'gevaarljike stoffen'!$B$11='MCB Policy'!BT22,)</f>
        <v>1</v>
      </c>
      <c r="BU25" s="201" t="b">
        <f>OR('gevaarljike stoffen'!$B$11='MCB Policy'!BU7,'gevaarljike stoffen'!$B$11='MCB Policy'!BU8,'gevaarljike stoffen'!$B$11='MCB Policy'!BU9,'gevaarljike stoffen'!$B$11='MCB Policy'!BU10,'gevaarljike stoffen'!$B$11='MCB Policy'!BU11,'gevaarljike stoffen'!$B$11='MCB Policy'!BU12,'gevaarljike stoffen'!$B$11='MCB Policy'!BU13,'gevaarljike stoffen'!$B$11='MCB Policy'!BU14,'gevaarljike stoffen'!$B$11='MCB Policy'!BU15,'gevaarljike stoffen'!$B$11='MCB Policy'!BU16,'gevaarljike stoffen'!$B$11='MCB Policy'!BU17,'gevaarljike stoffen'!$B$11='MCB Policy'!BU18,'gevaarljike stoffen'!$B$11='MCB Policy'!BU19,'gevaarljike stoffen'!$B$11='MCB Policy'!BU20,'gevaarljike stoffen'!$B$11='MCB Policy'!BU21,'gevaarljike stoffen'!$B$11='MCB Policy'!BU22,)</f>
        <v>0</v>
      </c>
      <c r="BV25" s="201" t="b">
        <f>OR('gevaarljike stoffen'!$B$11='MCB Policy'!BV7,'gevaarljike stoffen'!$B$11='MCB Policy'!BV8,'gevaarljike stoffen'!$B$11='MCB Policy'!BV9,'gevaarljike stoffen'!$B$11='MCB Policy'!BV10,'gevaarljike stoffen'!$B$11='MCB Policy'!BV11,'gevaarljike stoffen'!$B$11='MCB Policy'!BV12,'gevaarljike stoffen'!$B$11='MCB Policy'!BV13,'gevaarljike stoffen'!$B$11='MCB Policy'!BV14,'gevaarljike stoffen'!$B$11='MCB Policy'!BV15,'gevaarljike stoffen'!$B$11='MCB Policy'!BV16,'gevaarljike stoffen'!$B$11='MCB Policy'!BV17,'gevaarljike stoffen'!$B$11='MCB Policy'!BV18,'gevaarljike stoffen'!$B$11='MCB Policy'!BV19,'gevaarljike stoffen'!$B$11='MCB Policy'!BV20,'gevaarljike stoffen'!$B$11='MCB Policy'!BV21,'gevaarljike stoffen'!$B$11='MCB Policy'!BV22,)</f>
        <v>0</v>
      </c>
      <c r="BW25" s="201" t="b">
        <f>OR('gevaarljike stoffen'!$B$11='MCB Policy'!BW7,'gevaarljike stoffen'!$B$11='MCB Policy'!BW8,'gevaarljike stoffen'!$B$11='MCB Policy'!BW9,'gevaarljike stoffen'!$B$11='MCB Policy'!BW10,'gevaarljike stoffen'!$B$11='MCB Policy'!BW11,'gevaarljike stoffen'!$B$11='MCB Policy'!BW12,'gevaarljike stoffen'!$B$11='MCB Policy'!BW13,'gevaarljike stoffen'!$B$11='MCB Policy'!BW14,'gevaarljike stoffen'!$B$11='MCB Policy'!BW15,'gevaarljike stoffen'!$B$11='MCB Policy'!BW16,'gevaarljike stoffen'!$B$11='MCB Policy'!BW17,'gevaarljike stoffen'!$B$11='MCB Policy'!BW18,'gevaarljike stoffen'!$B$11='MCB Policy'!BW19,'gevaarljike stoffen'!$B$11='MCB Policy'!BW20,'gevaarljike stoffen'!$B$11='MCB Policy'!BW21,'gevaarljike stoffen'!$B$11='MCB Policy'!BW22,)</f>
        <v>0</v>
      </c>
      <c r="BX25" s="201" t="b">
        <f>OR('gevaarljike stoffen'!$B$11='MCB Policy'!BX7,'gevaarljike stoffen'!$B$11='MCB Policy'!BX8,'gevaarljike stoffen'!$B$11='MCB Policy'!BX9,'gevaarljike stoffen'!$B$11='MCB Policy'!BX10,'gevaarljike stoffen'!$B$11='MCB Policy'!BX11,'gevaarljike stoffen'!$B$11='MCB Policy'!BX12,'gevaarljike stoffen'!$B$11='MCB Policy'!BX13,'gevaarljike stoffen'!$B$11='MCB Policy'!BX14,'gevaarljike stoffen'!$B$11='MCB Policy'!BX15,'gevaarljike stoffen'!$B$11='MCB Policy'!BX16,'gevaarljike stoffen'!$B$11='MCB Policy'!BX17,'gevaarljike stoffen'!$B$11='MCB Policy'!BX18,'gevaarljike stoffen'!$B$11='MCB Policy'!BX19,'gevaarljike stoffen'!$B$11='MCB Policy'!BX20,'gevaarljike stoffen'!$B$11='MCB Policy'!BX21,'gevaarljike stoffen'!$B$11='MCB Policy'!BX22,)</f>
        <v>0</v>
      </c>
      <c r="BY25" s="201" t="b">
        <f>OR('gevaarljike stoffen'!$B$11='MCB Policy'!BY7,'gevaarljike stoffen'!$B$11='MCB Policy'!BY8,'gevaarljike stoffen'!$B$11='MCB Policy'!BY9,'gevaarljike stoffen'!$B$11='MCB Policy'!BY10,'gevaarljike stoffen'!$B$11='MCB Policy'!BY11,'gevaarljike stoffen'!$B$11='MCB Policy'!BY12,'gevaarljike stoffen'!$B$11='MCB Policy'!BY13,'gevaarljike stoffen'!$B$11='MCB Policy'!BY14,'gevaarljike stoffen'!$B$11='MCB Policy'!BY15,'gevaarljike stoffen'!$B$11='MCB Policy'!BY16,'gevaarljike stoffen'!$B$11='MCB Policy'!BY17,'gevaarljike stoffen'!$B$11='MCB Policy'!BY18,'gevaarljike stoffen'!$B$11='MCB Policy'!BY19,'gevaarljike stoffen'!$B$11='MCB Policy'!BY20,'gevaarljike stoffen'!$B$11='MCB Policy'!BY21,'gevaarljike stoffen'!$B$11='MCB Policy'!BY22,)</f>
        <v>0</v>
      </c>
      <c r="BZ25" s="201" t="b">
        <f>OR('gevaarljike stoffen'!$B$11='MCB Policy'!BZ7,'gevaarljike stoffen'!$B$11='MCB Policy'!BZ8,'gevaarljike stoffen'!$B$11='MCB Policy'!BZ9,'gevaarljike stoffen'!$B$11='MCB Policy'!BZ10,'gevaarljike stoffen'!$B$11='MCB Policy'!BZ11,'gevaarljike stoffen'!$B$11='MCB Policy'!BZ12,'gevaarljike stoffen'!$B$11='MCB Policy'!BZ13,'gevaarljike stoffen'!$B$11='MCB Policy'!BZ14,'gevaarljike stoffen'!$B$11='MCB Policy'!BZ15,'gevaarljike stoffen'!$B$11='MCB Policy'!BZ16,'gevaarljike stoffen'!$B$11='MCB Policy'!BZ17,'gevaarljike stoffen'!$B$11='MCB Policy'!BZ18,'gevaarljike stoffen'!$B$11='MCB Policy'!BZ19,'gevaarljike stoffen'!$B$11='MCB Policy'!BZ20,'gevaarljike stoffen'!$B$11='MCB Policy'!BZ21,'gevaarljike stoffen'!$B$11='MCB Policy'!BZ22,)</f>
        <v>0</v>
      </c>
      <c r="CA25" s="201" t="b">
        <f>OR('gevaarljike stoffen'!$B$11='MCB Policy'!CA7,'gevaarljike stoffen'!$B$11='MCB Policy'!CA8,'gevaarljike stoffen'!$B$11='MCB Policy'!CA9,'gevaarljike stoffen'!$B$11='MCB Policy'!CA10,'gevaarljike stoffen'!$B$11='MCB Policy'!CA11,'gevaarljike stoffen'!$B$11='MCB Policy'!CA12,'gevaarljike stoffen'!$B$11='MCB Policy'!CA13,'gevaarljike stoffen'!$B$11='MCB Policy'!CA14,'gevaarljike stoffen'!$B$11='MCB Policy'!CA15,'gevaarljike stoffen'!$B$11='MCB Policy'!CA16,'gevaarljike stoffen'!$B$11='MCB Policy'!CA17,'gevaarljike stoffen'!$B$11='MCB Policy'!CA18,'gevaarljike stoffen'!$B$11='MCB Policy'!CA19,'gevaarljike stoffen'!$B$11='MCB Policy'!CA20,'gevaarljike stoffen'!$B$11='MCB Policy'!CA21,'gevaarljike stoffen'!$B$11='MCB Policy'!CA22,)</f>
        <v>0</v>
      </c>
      <c r="CC25" s="121" t="b">
        <f>OR('gevaarljike stoffen'!$B$11='MCB Policy'!CC7,'gevaarljike stoffen'!$B$11='MCB Policy'!CC8,'gevaarljike stoffen'!$B$11='MCB Policy'!CC9,'gevaarljike stoffen'!$B$11='MCB Policy'!CC10,'gevaarljike stoffen'!$B$11='MCB Policy'!CC11,'gevaarljike stoffen'!$B$11='MCB Policy'!CC12,'gevaarljike stoffen'!$B$11='MCB Policy'!CC13,'gevaarljike stoffen'!$B$11='MCB Policy'!CC14,'gevaarljike stoffen'!$B$11='MCB Policy'!CC15,'gevaarljike stoffen'!$B$11='MCB Policy'!CC16,'gevaarljike stoffen'!$B$11='MCB Policy'!CC17,'gevaarljike stoffen'!$B$11='MCB Policy'!CC18,'gevaarljike stoffen'!$B$11='MCB Policy'!CC19,'gevaarljike stoffen'!$B$11='MCB Policy'!CC20,'gevaarljike stoffen'!$B$11='MCB Policy'!CC21,'gevaarljike stoffen'!$B$11='MCB Policy'!CC22,)</f>
        <v>1</v>
      </c>
      <c r="CD25" s="121" t="b">
        <f>OR('gevaarljike stoffen'!$B$11='MCB Policy'!CD7,'gevaarljike stoffen'!$B$11='MCB Policy'!CD8,'gevaarljike stoffen'!$B$11='MCB Policy'!CD9,'gevaarljike stoffen'!$B$11='MCB Policy'!CD10,'gevaarljike stoffen'!$B$11='MCB Policy'!CD11,'gevaarljike stoffen'!$B$11='MCB Policy'!CD12,'gevaarljike stoffen'!$B$11='MCB Policy'!CD13,'gevaarljike stoffen'!$B$11='MCB Policy'!CD14,'gevaarljike stoffen'!$B$11='MCB Policy'!CD15,'gevaarljike stoffen'!$B$11='MCB Policy'!CD16,'gevaarljike stoffen'!$B$11='MCB Policy'!CD17,'gevaarljike stoffen'!$B$11='MCB Policy'!CD18,'gevaarljike stoffen'!$B$11='MCB Policy'!CD19,'gevaarljike stoffen'!$B$11='MCB Policy'!CD20,'gevaarljike stoffen'!$B$11='MCB Policy'!CD21,'gevaarljike stoffen'!$B$11='MCB Policy'!CD22,)</f>
        <v>1</v>
      </c>
      <c r="CE25" s="121" t="b">
        <f>OR('gevaarljike stoffen'!$B$11='MCB Policy'!CE7,'gevaarljike stoffen'!$B$11='MCB Policy'!CE8,'gevaarljike stoffen'!$B$11='MCB Policy'!CE9,'gevaarljike stoffen'!$B$11='MCB Policy'!CE10,'gevaarljike stoffen'!$B$11='MCB Policy'!CE11,'gevaarljike stoffen'!$B$11='MCB Policy'!CE12,'gevaarljike stoffen'!$B$11='MCB Policy'!CE13,'gevaarljike stoffen'!$B$11='MCB Policy'!CE14,'gevaarljike stoffen'!$B$11='MCB Policy'!CE15,'gevaarljike stoffen'!$B$11='MCB Policy'!CE16,'gevaarljike stoffen'!$B$11='MCB Policy'!CE17,'gevaarljike stoffen'!$B$11='MCB Policy'!CE18,'gevaarljike stoffen'!$B$11='MCB Policy'!CE19,'gevaarljike stoffen'!$B$11='MCB Policy'!CE20,'gevaarljike stoffen'!$B$11='MCB Policy'!CE21,'gevaarljike stoffen'!$B$11='MCB Policy'!CE22,)</f>
        <v>1</v>
      </c>
      <c r="CF25" s="121" t="b">
        <f>OR('gevaarljike stoffen'!$B$11='MCB Policy'!CF7,'gevaarljike stoffen'!$B$11='MCB Policy'!CF8,'gevaarljike stoffen'!$B$11='MCB Policy'!CF9,'gevaarljike stoffen'!$B$11='MCB Policy'!CF10,'gevaarljike stoffen'!$B$11='MCB Policy'!CF11,'gevaarljike stoffen'!$B$11='MCB Policy'!CF12,'gevaarljike stoffen'!$B$11='MCB Policy'!CF13,'gevaarljike stoffen'!$B$11='MCB Policy'!CF14,'gevaarljike stoffen'!$B$11='MCB Policy'!CF15,'gevaarljike stoffen'!$B$11='MCB Policy'!CF16,'gevaarljike stoffen'!$B$11='MCB Policy'!CF17,'gevaarljike stoffen'!$B$11='MCB Policy'!CF18,'gevaarljike stoffen'!$B$11='MCB Policy'!CF19,'gevaarljike stoffen'!$B$11='MCB Policy'!CF20,'gevaarljike stoffen'!$B$11='MCB Policy'!CF21,'gevaarljike stoffen'!$B$11='MCB Policy'!CF22,)</f>
        <v>1</v>
      </c>
      <c r="CG25" s="121" t="b">
        <f>OR('gevaarljike stoffen'!$B$11='MCB Policy'!CG7,'gevaarljike stoffen'!$B$11='MCB Policy'!CG8,'gevaarljike stoffen'!$B$11='MCB Policy'!CG9,'gevaarljike stoffen'!$B$11='MCB Policy'!CG10,'gevaarljike stoffen'!$B$11='MCB Policy'!CG11,'gevaarljike stoffen'!$B$11='MCB Policy'!CG12,'gevaarljike stoffen'!$B$11='MCB Policy'!CG13,'gevaarljike stoffen'!$B$11='MCB Policy'!CG14,'gevaarljike stoffen'!$B$11='MCB Policy'!CG15,'gevaarljike stoffen'!$B$11='MCB Policy'!CG16,'gevaarljike stoffen'!$B$11='MCB Policy'!CG17,'gevaarljike stoffen'!$B$11='MCB Policy'!CG18,'gevaarljike stoffen'!$B$11='MCB Policy'!CG19,'gevaarljike stoffen'!$B$11='MCB Policy'!CG20,'gevaarljike stoffen'!$B$11='MCB Policy'!CG21,'gevaarljike stoffen'!$B$11='MCB Policy'!CG22,)</f>
        <v>1</v>
      </c>
      <c r="CH25" s="121" t="b">
        <f>OR('gevaarljike stoffen'!$B$11='MCB Policy'!CH7,'gevaarljike stoffen'!$B$11='MCB Policy'!CH8,'gevaarljike stoffen'!$B$11='MCB Policy'!CH9,'gevaarljike stoffen'!$B$11='MCB Policy'!CH10,'gevaarljike stoffen'!$B$11='MCB Policy'!CH11,'gevaarljike stoffen'!$B$11='MCB Policy'!CH12,'gevaarljike stoffen'!$B$11='MCB Policy'!CH13,'gevaarljike stoffen'!$B$11='MCB Policy'!CH14,'gevaarljike stoffen'!$B$11='MCB Policy'!CH15,'gevaarljike stoffen'!$B$11='MCB Policy'!CH16,'gevaarljike stoffen'!$B$11='MCB Policy'!CH17,'gevaarljike stoffen'!$B$11='MCB Policy'!CH18,'gevaarljike stoffen'!$B$11='MCB Policy'!CH19,'gevaarljike stoffen'!$B$11='MCB Policy'!CH20,'gevaarljike stoffen'!$B$11='MCB Policy'!CH21,'gevaarljike stoffen'!$B$11='MCB Policy'!CH22,)</f>
        <v>1</v>
      </c>
      <c r="CI25" s="121" t="b">
        <f>OR('gevaarljike stoffen'!$B$11='MCB Policy'!CI7,'gevaarljike stoffen'!$B$11='MCB Policy'!CI8,'gevaarljike stoffen'!$B$11='MCB Policy'!CI9,'gevaarljike stoffen'!$B$11='MCB Policy'!CI10,'gevaarljike stoffen'!$B$11='MCB Policy'!CI11,'gevaarljike stoffen'!$B$11='MCB Policy'!CI12,'gevaarljike stoffen'!$B$11='MCB Policy'!CI13,'gevaarljike stoffen'!$B$11='MCB Policy'!CI14,'gevaarljike stoffen'!$B$11='MCB Policy'!CI15,'gevaarljike stoffen'!$B$11='MCB Policy'!CI16,'gevaarljike stoffen'!$B$11='MCB Policy'!CI17,'gevaarljike stoffen'!$B$11='MCB Policy'!CI18,'gevaarljike stoffen'!$B$11='MCB Policy'!CI19,'gevaarljike stoffen'!$B$11='MCB Policy'!CI20,'gevaarljike stoffen'!$B$11='MCB Policy'!CI21,'gevaarljike stoffen'!$B$11='MCB Policy'!CI22,)</f>
        <v>0</v>
      </c>
      <c r="CJ25" s="121" t="b">
        <f>OR('gevaarljike stoffen'!$B$11='MCB Policy'!CJ7,'gevaarljike stoffen'!$B$11='MCB Policy'!CJ8,'gevaarljike stoffen'!$B$11='MCB Policy'!CJ9,'gevaarljike stoffen'!$B$11='MCB Policy'!CJ10,'gevaarljike stoffen'!$B$11='MCB Policy'!CJ11,'gevaarljike stoffen'!$B$11='MCB Policy'!CJ12,'gevaarljike stoffen'!$B$11='MCB Policy'!CJ13,'gevaarljike stoffen'!$B$11='MCB Policy'!CJ14,'gevaarljike stoffen'!$B$11='MCB Policy'!CJ15,'gevaarljike stoffen'!$B$11='MCB Policy'!CJ16,'gevaarljike stoffen'!$B$11='MCB Policy'!CJ17,'gevaarljike stoffen'!$B$11='MCB Policy'!CJ18,'gevaarljike stoffen'!$B$11='MCB Policy'!CJ19,'gevaarljike stoffen'!$B$11='MCB Policy'!CJ20,'gevaarljike stoffen'!$B$11='MCB Policy'!CJ21,'gevaarljike stoffen'!$B$11='MCB Policy'!CJ22,)</f>
        <v>0</v>
      </c>
      <c r="CK25" s="121" t="b">
        <f>OR('gevaarljike stoffen'!$B$11='MCB Policy'!CK7,'gevaarljike stoffen'!$B$11='MCB Policy'!CK8,'gevaarljike stoffen'!$B$11='MCB Policy'!CK9,'gevaarljike stoffen'!$B$11='MCB Policy'!CK10,'gevaarljike stoffen'!$B$11='MCB Policy'!CK11,'gevaarljike stoffen'!$B$11='MCB Policy'!CK12,'gevaarljike stoffen'!$B$11='MCB Policy'!CK13,'gevaarljike stoffen'!$B$11='MCB Policy'!CK14,'gevaarljike stoffen'!$B$11='MCB Policy'!CK15,'gevaarljike stoffen'!$B$11='MCB Policy'!CK16,'gevaarljike stoffen'!$B$11='MCB Policy'!CK17,'gevaarljike stoffen'!$B$11='MCB Policy'!CK18,'gevaarljike stoffen'!$B$11='MCB Policy'!CK19,'gevaarljike stoffen'!$B$11='MCB Policy'!CK20,'gevaarljike stoffen'!$B$11='MCB Policy'!CK21,'gevaarljike stoffen'!$B$11='MCB Policy'!CK22,)</f>
        <v>0</v>
      </c>
      <c r="CL25" s="121" t="b">
        <f>OR('gevaarljike stoffen'!$B$11='MCB Policy'!CL7,'gevaarljike stoffen'!$B$11='MCB Policy'!CL8,'gevaarljike stoffen'!$B$11='MCB Policy'!CL9,'gevaarljike stoffen'!$B$11='MCB Policy'!CL10,'gevaarljike stoffen'!$B$11='MCB Policy'!CL11,'gevaarljike stoffen'!$B$11='MCB Policy'!CL12,'gevaarljike stoffen'!$B$11='MCB Policy'!CL13,'gevaarljike stoffen'!$B$11='MCB Policy'!CL14,'gevaarljike stoffen'!$B$11='MCB Policy'!CL15,'gevaarljike stoffen'!$B$11='MCB Policy'!CL16,'gevaarljike stoffen'!$B$11='MCB Policy'!CL17,'gevaarljike stoffen'!$B$11='MCB Policy'!CL18,'gevaarljike stoffen'!$B$11='MCB Policy'!CL19,'gevaarljike stoffen'!$B$11='MCB Policy'!CL20,'gevaarljike stoffen'!$B$11='MCB Policy'!CL21,'gevaarljike stoffen'!$B$11='MCB Policy'!CL22,)</f>
        <v>0</v>
      </c>
      <c r="CM25" s="121" t="b">
        <f>OR('gevaarljike stoffen'!$B$11='MCB Policy'!CM7,'gevaarljike stoffen'!$B$11='MCB Policy'!CM8,'gevaarljike stoffen'!$B$11='MCB Policy'!CM9,'gevaarljike stoffen'!$B$11='MCB Policy'!CM10,'gevaarljike stoffen'!$B$11='MCB Policy'!CM11,'gevaarljike stoffen'!$B$11='MCB Policy'!CM12,'gevaarljike stoffen'!$B$11='MCB Policy'!CM13,'gevaarljike stoffen'!$B$11='MCB Policy'!CM14,'gevaarljike stoffen'!$B$11='MCB Policy'!CM15,'gevaarljike stoffen'!$B$11='MCB Policy'!CM16,'gevaarljike stoffen'!$B$11='MCB Policy'!CM17,'gevaarljike stoffen'!$B$11='MCB Policy'!CM18,'gevaarljike stoffen'!$B$11='MCB Policy'!CM19,'gevaarljike stoffen'!$B$11='MCB Policy'!CM20,'gevaarljike stoffen'!$B$11='MCB Policy'!CM21,'gevaarljike stoffen'!$B$11='MCB Policy'!CM22,)</f>
        <v>0</v>
      </c>
      <c r="CN25" s="121" t="b">
        <f>OR('gevaarljike stoffen'!$B$11='MCB Policy'!CN7,'gevaarljike stoffen'!$B$11='MCB Policy'!CN8,'gevaarljike stoffen'!$B$11='MCB Policy'!CN9,'gevaarljike stoffen'!$B$11='MCB Policy'!CN10,'gevaarljike stoffen'!$B$11='MCB Policy'!CN11,'gevaarljike stoffen'!$B$11='MCB Policy'!CN12,'gevaarljike stoffen'!$B$11='MCB Policy'!CN13,'gevaarljike stoffen'!$B$11='MCB Policy'!CN14,'gevaarljike stoffen'!$B$11='MCB Policy'!CN15,'gevaarljike stoffen'!$B$11='MCB Policy'!CN16,'gevaarljike stoffen'!$B$11='MCB Policy'!CN17,'gevaarljike stoffen'!$B$11='MCB Policy'!CN18,'gevaarljike stoffen'!$B$11='MCB Policy'!CN19,'gevaarljike stoffen'!$B$11='MCB Policy'!CN20,'gevaarljike stoffen'!$B$11='MCB Policy'!CN21,'gevaarljike stoffen'!$B$11='MCB Policy'!CN22,)</f>
        <v>0</v>
      </c>
      <c r="CO25" s="121" t="b">
        <f>OR('gevaarljike stoffen'!$B$11='MCB Policy'!CO7,'gevaarljike stoffen'!$B$11='MCB Policy'!CO8,'gevaarljike stoffen'!$B$11='MCB Policy'!CO9,'gevaarljike stoffen'!$B$11='MCB Policy'!CO10,'gevaarljike stoffen'!$B$11='MCB Policy'!CO11,'gevaarljike stoffen'!$B$11='MCB Policy'!CO12,'gevaarljike stoffen'!$B$11='MCB Policy'!CO13,'gevaarljike stoffen'!$B$11='MCB Policy'!CO14,'gevaarljike stoffen'!$B$11='MCB Policy'!CO15,'gevaarljike stoffen'!$B$11='MCB Policy'!CO16,'gevaarljike stoffen'!$B$11='MCB Policy'!CO17,'gevaarljike stoffen'!$B$11='MCB Policy'!CO18,'gevaarljike stoffen'!$B$11='MCB Policy'!CO19,'gevaarljike stoffen'!$B$11='MCB Policy'!CO20,'gevaarljike stoffen'!$B$11='MCB Policy'!CO21,'gevaarljike stoffen'!$B$11='MCB Policy'!CO22,)</f>
        <v>0</v>
      </c>
      <c r="CP25" s="121" t="b">
        <f>OR('gevaarljike stoffen'!$B$11='MCB Policy'!CP7,'gevaarljike stoffen'!$B$11='MCB Policy'!CP8,'gevaarljike stoffen'!$B$11='MCB Policy'!CP9,'gevaarljike stoffen'!$B$11='MCB Policy'!CP10,'gevaarljike stoffen'!$B$11='MCB Policy'!CP11,'gevaarljike stoffen'!$B$11='MCB Policy'!CP12,'gevaarljike stoffen'!$B$11='MCB Policy'!CP13,'gevaarljike stoffen'!$B$11='MCB Policy'!CP14,'gevaarljike stoffen'!$B$11='MCB Policy'!CP15,'gevaarljike stoffen'!$B$11='MCB Policy'!CP16,'gevaarljike stoffen'!$B$11='MCB Policy'!CP17,'gevaarljike stoffen'!$B$11='MCB Policy'!CP18,'gevaarljike stoffen'!$B$11='MCB Policy'!CP19,'gevaarljike stoffen'!$B$11='MCB Policy'!CP20,'gevaarljike stoffen'!$B$11='MCB Policy'!CP21,'gevaarljike stoffen'!$B$11='MCB Policy'!CP22,)</f>
        <v>0</v>
      </c>
      <c r="CQ25" s="121" t="b">
        <f>OR('gevaarljike stoffen'!$B$11='MCB Policy'!CQ7,'gevaarljike stoffen'!$B$11='MCB Policy'!CQ8,'gevaarljike stoffen'!$B$11='MCB Policy'!CQ9,'gevaarljike stoffen'!$B$11='MCB Policy'!CQ10,'gevaarljike stoffen'!$B$11='MCB Policy'!CQ11,'gevaarljike stoffen'!$B$11='MCB Policy'!CQ12,'gevaarljike stoffen'!$B$11='MCB Policy'!CQ13,'gevaarljike stoffen'!$B$11='MCB Policy'!CQ14,'gevaarljike stoffen'!$B$11='MCB Policy'!CQ15,'gevaarljike stoffen'!$B$11='MCB Policy'!CQ16,'gevaarljike stoffen'!$B$11='MCB Policy'!CQ17,'gevaarljike stoffen'!$B$11='MCB Policy'!CQ18,'gevaarljike stoffen'!$B$11='MCB Policy'!CQ19,'gevaarljike stoffen'!$B$11='MCB Policy'!CQ20,'gevaarljike stoffen'!$B$11='MCB Policy'!CQ21,'gevaarljike stoffen'!$B$11='MCB Policy'!CQ22,)</f>
        <v>0</v>
      </c>
      <c r="CR25" s="121" t="b">
        <f>OR('gevaarljike stoffen'!$B$11='MCB Policy'!CR7,'gevaarljike stoffen'!$B$11='MCB Policy'!CR8,'gevaarljike stoffen'!$B$11='MCB Policy'!CR9,'gevaarljike stoffen'!$B$11='MCB Policy'!CR10,'gevaarljike stoffen'!$B$11='MCB Policy'!CR11,'gevaarljike stoffen'!$B$11='MCB Policy'!CR12,'gevaarljike stoffen'!$B$11='MCB Policy'!CR13,'gevaarljike stoffen'!$B$11='MCB Policy'!CR14,'gevaarljike stoffen'!$B$11='MCB Policy'!CR15,'gevaarljike stoffen'!$B$11='MCB Policy'!CR16,'gevaarljike stoffen'!$B$11='MCB Policy'!CR17,'gevaarljike stoffen'!$B$11='MCB Policy'!CR18,'gevaarljike stoffen'!$B$11='MCB Policy'!CR19,'gevaarljike stoffen'!$B$11='MCB Policy'!CR20,'gevaarljike stoffen'!$B$11='MCB Policy'!CR21,'gevaarljike stoffen'!$B$11='MCB Policy'!CR22,)</f>
        <v>0</v>
      </c>
      <c r="CS25" s="121" t="b">
        <f>OR('gevaarljike stoffen'!$B$11='MCB Policy'!CS7,'gevaarljike stoffen'!$B$11='MCB Policy'!CS8,'gevaarljike stoffen'!$B$11='MCB Policy'!CS9,'gevaarljike stoffen'!$B$11='MCB Policy'!CS10,'gevaarljike stoffen'!$B$11='MCB Policy'!CS11,'gevaarljike stoffen'!$B$11='MCB Policy'!CS12,'gevaarljike stoffen'!$B$11='MCB Policy'!CS13,'gevaarljike stoffen'!$B$11='MCB Policy'!CS14,'gevaarljike stoffen'!$B$11='MCB Policy'!CS15,'gevaarljike stoffen'!$B$11='MCB Policy'!CS16,'gevaarljike stoffen'!$B$11='MCB Policy'!CS17,'gevaarljike stoffen'!$B$11='MCB Policy'!CS18,'gevaarljike stoffen'!$B$11='MCB Policy'!CS19,'gevaarljike stoffen'!$B$11='MCB Policy'!CS20,'gevaarljike stoffen'!$B$11='MCB Policy'!CS21,'gevaarljike stoffen'!$B$11='MCB Policy'!CS22,)</f>
        <v>0</v>
      </c>
      <c r="CT25" s="121" t="b">
        <f>OR('gevaarljike stoffen'!$B$11='MCB Policy'!CT7,'gevaarljike stoffen'!$B$11='MCB Policy'!CT8,'gevaarljike stoffen'!$B$11='MCB Policy'!CT9,'gevaarljike stoffen'!$B$11='MCB Policy'!CT10,'gevaarljike stoffen'!$B$11='MCB Policy'!CT11,'gevaarljike stoffen'!$B$11='MCB Policy'!CT12,'gevaarljike stoffen'!$B$11='MCB Policy'!CT13,'gevaarljike stoffen'!$B$11='MCB Policy'!CT14,'gevaarljike stoffen'!$B$11='MCB Policy'!CT15,'gevaarljike stoffen'!$B$11='MCB Policy'!CT16,'gevaarljike stoffen'!$B$11='MCB Policy'!CT17,'gevaarljike stoffen'!$B$11='MCB Policy'!CT18,'gevaarljike stoffen'!$B$11='MCB Policy'!CT19,'gevaarljike stoffen'!$B$11='MCB Policy'!CT20,'gevaarljike stoffen'!$B$11='MCB Policy'!CT21,'gevaarljike stoffen'!$B$11='MCB Policy'!CT22,)</f>
        <v>1</v>
      </c>
      <c r="CU25" s="121" t="b">
        <f>OR('gevaarljike stoffen'!$B$11='MCB Policy'!CU7,'gevaarljike stoffen'!$B$11='MCB Policy'!CU8,'gevaarljike stoffen'!$B$11='MCB Policy'!CU9,'gevaarljike stoffen'!$B$11='MCB Policy'!CU10,'gevaarljike stoffen'!$B$11='MCB Policy'!CU11,'gevaarljike stoffen'!$B$11='MCB Policy'!CU12,'gevaarljike stoffen'!$B$11='MCB Policy'!CU13,'gevaarljike stoffen'!$B$11='MCB Policy'!CU14,'gevaarljike stoffen'!$B$11='MCB Policy'!CU15,'gevaarljike stoffen'!$B$11='MCB Policy'!CU16,'gevaarljike stoffen'!$B$11='MCB Policy'!CU17,'gevaarljike stoffen'!$B$11='MCB Policy'!CU18,'gevaarljike stoffen'!$B$11='MCB Policy'!CU19,'gevaarljike stoffen'!$B$11='MCB Policy'!CU20,'gevaarljike stoffen'!$B$11='MCB Policy'!CU21,'gevaarljike stoffen'!$B$11='MCB Policy'!CU22,)</f>
        <v>1</v>
      </c>
      <c r="CV25" s="121" t="b">
        <f>OR('gevaarljike stoffen'!$B$11='MCB Policy'!CV7,'gevaarljike stoffen'!$B$11='MCB Policy'!CV8,'gevaarljike stoffen'!$B$11='MCB Policy'!CV9,'gevaarljike stoffen'!$B$11='MCB Policy'!CV10,'gevaarljike stoffen'!$B$11='MCB Policy'!CV11,'gevaarljike stoffen'!$B$11='MCB Policy'!CV12,'gevaarljike stoffen'!$B$11='MCB Policy'!CV13,'gevaarljike stoffen'!$B$11='MCB Policy'!CV14,'gevaarljike stoffen'!$B$11='MCB Policy'!CV15,'gevaarljike stoffen'!$B$11='MCB Policy'!CV16,'gevaarljike stoffen'!$B$11='MCB Policy'!CV17,'gevaarljike stoffen'!$B$11='MCB Policy'!CV18,'gevaarljike stoffen'!$B$11='MCB Policy'!CV19,'gevaarljike stoffen'!$B$11='MCB Policy'!CV20,'gevaarljike stoffen'!$B$11='MCB Policy'!CV21,'gevaarljike stoffen'!$B$11='MCB Policy'!CV22,)</f>
        <v>1</v>
      </c>
    </row>
    <row r="26" spans="1:127" x14ac:dyDescent="0.25">
      <c r="A26">
        <f>IF('gevaarljike stoffen'!$B$4=0,0,HLOOKUP('gevaarljike stoffen'!$B$4,'MCB Policy'!$A$3:$DV$22,3,FALSE))</f>
        <v>0</v>
      </c>
      <c r="B26" s="200">
        <f>IF('gevaarljike stoffen'!$B4=0,0,HLOOKUP('gevaarljike stoffen'!$B4,'MCB Policy'!$A$3:$DV$25,21,FALSE))</f>
        <v>0</v>
      </c>
      <c r="C26" s="200">
        <f>IF('gevaarljike stoffen'!$B4=0,0,HLOOKUP('gevaarljike stoffen'!$B4,'MCB Policy'!$A$3:$DV$25,22,FALSE))</f>
        <v>0</v>
      </c>
      <c r="D26">
        <f t="shared" ref="D26:D31" si="0">IF(AND(B26=0,C26=0),0,
IF(AND(B26="TBA",C26="TBA"),"To be avoided (preliminary HSE assessment needed)",
IF(AND(B26="TBA",C26="DER"),"Allowed",
IF(AND(B26="NOK",C26="NOK"),"Not Allowed",
IF(AND(B26="NOK",C26="DER"),"Allowed",
IF(AND(B26="DERPO",C26="DERPO"),"Not Allowed (in worst case derogation possible after HSE assessment)"))))))</f>
        <v>0</v>
      </c>
      <c r="E26" t="b">
        <f>OR(D26="Not Allowed",D27="Not Allowed",D28="Not Allowed",D29="Not Allowed",D30="Not Allowed",D31="Not Allowed")</f>
        <v>0</v>
      </c>
      <c r="F26" t="str">
        <f>IF(OR('gevaarljike stoffen'!L11="Not OK",'gevaarljike stoffen'!L11=0),"Not Allowed",IF(E26,"Not Allowed",IF(E27,"Not Allowed (exceptionally derogation possible after HSE assessment)",IF(E28,"To be avoided (preliminary HSE assessment needed)","Allowed"))))</f>
        <v>Allowed</v>
      </c>
    </row>
    <row r="27" spans="1:127" x14ac:dyDescent="0.25">
      <c r="A27">
        <f>IF('gevaarljike stoffen'!$B$4=0,0,HLOOKUP('gevaarljike stoffen'!$B$4,'MCB Policy'!$A3:$DV$22,4,FALSE))</f>
        <v>0</v>
      </c>
      <c r="B27" s="200">
        <f>IF('gevaarljike stoffen'!$B5=0,0,HLOOKUP('gevaarljike stoffen'!$B5,'MCB Policy'!$A$3:$DV$25,21,FALSE))</f>
        <v>0</v>
      </c>
      <c r="C27" s="200">
        <f>IF('gevaarljike stoffen'!$B5=0,0,HLOOKUP('gevaarljike stoffen'!$B5,'MCB Policy'!$A$3:$DV$25,22,FALSE))</f>
        <v>0</v>
      </c>
      <c r="D27">
        <f t="shared" si="0"/>
        <v>0</v>
      </c>
      <c r="E27" t="b">
        <f>OR(D26="Not Allowed (in worst case derogation possible after HSE assessment)",D27="Not Allowed (in worst case derogation possible after HSE assessment)",D28="Not Allowed (in worst case derogation possible after HSE assessment)",D29="Not Allowed (in worst case derogation possible after HSE assessment)",D30="Not Allowed (in worst case derogation possible after HSE assessment)",D31="Not Allowed (in worst case derogation possible after HSE assessment)")</f>
        <v>0</v>
      </c>
    </row>
    <row r="28" spans="1:127" x14ac:dyDescent="0.25">
      <c r="A28">
        <f>IF('gevaarljike stoffen'!$B$5=0,0,HLOOKUP('gevaarljike stoffen'!$B$5,'MCB Policy'!$A3:$DV$22,3,FALSE))</f>
        <v>0</v>
      </c>
      <c r="B28" s="200">
        <f>IF('gevaarljike stoffen'!$B6=0,0,HLOOKUP('gevaarljike stoffen'!$B6,'MCB Policy'!$A$3:$DV$25,21,FALSE))</f>
        <v>0</v>
      </c>
      <c r="C28" s="200">
        <f>IF('gevaarljike stoffen'!$B6=0,0,HLOOKUP('gevaarljike stoffen'!$B6,'MCB Policy'!$A$3:$DV$25,22,FALSE))</f>
        <v>0</v>
      </c>
      <c r="D28">
        <f t="shared" si="0"/>
        <v>0</v>
      </c>
      <c r="E28" t="b">
        <f>OR(D26="To be avoided (preliminary HSE assessment needed)",D27="To be avoided (preliminary HSE assessment needed)",D28="To be avoided (preliminary HSE assessment needed)",D29="To be avoided (preliminary HSE assessment needed)",D30="To be avoided (preliminary HSE assessment needed)",D31="To be avoided (preliminary HSE assessment needed)")</f>
        <v>0</v>
      </c>
    </row>
    <row r="29" spans="1:127" x14ac:dyDescent="0.25">
      <c r="A29">
        <f>IF('gevaarljike stoffen'!$B$5=0,0,HLOOKUP('gevaarljike stoffen'!$B$5,'MCB Policy'!$A3:$DV$22,4,FALSE))</f>
        <v>0</v>
      </c>
      <c r="B29" s="200">
        <f>IF('gevaarljike stoffen'!$B7=0,0,HLOOKUP('gevaarljike stoffen'!$B7,'MCB Policy'!$A$3:$DV$25,21,FALSE))</f>
        <v>0</v>
      </c>
      <c r="C29" s="200">
        <f>IF('gevaarljike stoffen'!$B7=0,0,HLOOKUP('gevaarljike stoffen'!$B7,'MCB Policy'!$A$3:$DV$25,22,FALSE))</f>
        <v>0</v>
      </c>
      <c r="D29">
        <f t="shared" si="0"/>
        <v>0</v>
      </c>
    </row>
    <row r="30" spans="1:127" x14ac:dyDescent="0.25">
      <c r="A30">
        <f>IF('gevaarljike stoffen'!$B$6=0,0,HLOOKUP('gevaarljike stoffen'!$B$6,'MCB Policy'!$A$3:$DV$22,3,FALSE))</f>
        <v>0</v>
      </c>
      <c r="B30" s="200">
        <f>IF('gevaarljike stoffen'!$B8=0,0,HLOOKUP('gevaarljike stoffen'!$B8,'MCB Policy'!$A$3:$DV$25,21,FALSE))</f>
        <v>0</v>
      </c>
      <c r="C30" s="200">
        <f>IF('gevaarljike stoffen'!$B8=0,0,HLOOKUP('gevaarljike stoffen'!$B8,'MCB Policy'!$A$3:$DV$25,22,FALSE))</f>
        <v>0</v>
      </c>
      <c r="D30">
        <f t="shared" si="0"/>
        <v>0</v>
      </c>
    </row>
    <row r="31" spans="1:127" x14ac:dyDescent="0.25">
      <c r="A31">
        <f>IF('gevaarljike stoffen'!$B$6=0,0,HLOOKUP('gevaarljike stoffen'!$B$6,'MCB Policy'!$A$3:$DV$22,4,FALSE))</f>
        <v>0</v>
      </c>
      <c r="B31" s="200">
        <f>IF('gevaarljike stoffen'!$B9=0,0,HLOOKUP('gevaarljike stoffen'!$B9,'MCB Policy'!$A$3:$DV$25,21,FALSE))</f>
        <v>0</v>
      </c>
      <c r="C31" s="200">
        <f>IF('gevaarljike stoffen'!$B9=0,0,HLOOKUP('gevaarljike stoffen'!$B9,'MCB Policy'!$A$3:$DV$25,22,FALSE))</f>
        <v>0</v>
      </c>
      <c r="D31">
        <f t="shared" si="0"/>
        <v>0</v>
      </c>
    </row>
    <row r="32" spans="1:127" x14ac:dyDescent="0.25">
      <c r="A32">
        <f>IF('gevaarljike stoffen'!$B$7=0,0,HLOOKUP('gevaarljike stoffen'!$B$7,'MCB Policy'!$A$3:$DV$22,3,FALSE))</f>
        <v>0</v>
      </c>
    </row>
    <row r="33" spans="1:86" x14ac:dyDescent="0.25">
      <c r="A33">
        <f>IF('gevaarljike stoffen'!$B$7=0,0,HLOOKUP('gevaarljike stoffen'!$B$7,'MCB Policy'!$A$3:$DV$22,4,FALSE))</f>
        <v>0</v>
      </c>
    </row>
    <row r="34" spans="1:86" x14ac:dyDescent="0.25">
      <c r="A34">
        <f>IF('gevaarljike stoffen'!$B$8=0,0,HLOOKUP('gevaarljike stoffen'!$B$8,'MCB Policy'!$A$3:$DV$22,3,FALSE))</f>
        <v>0</v>
      </c>
    </row>
    <row r="35" spans="1:86" x14ac:dyDescent="0.25">
      <c r="A35">
        <f>IF('gevaarljike stoffen'!$B$8=0,0,HLOOKUP('gevaarljike stoffen'!$B$8,'MCB Policy'!$A$3:$DV$22,4,FALSE))</f>
        <v>0</v>
      </c>
    </row>
    <row r="36" spans="1:86" x14ac:dyDescent="0.25">
      <c r="A36">
        <f>IF('gevaarljike stoffen'!$B$9=0,0,HLOOKUP('gevaarljike stoffen'!$B$9,'MCB Policy'!$A$3:$DV$22,3,FALSE))</f>
        <v>0</v>
      </c>
    </row>
    <row r="37" spans="1:86" x14ac:dyDescent="0.25">
      <c r="A37">
        <f>IF('gevaarljike stoffen'!$B$9=0,0,HLOOKUP('gevaarljike stoffen'!$B$9,'MCB Policy'!$A$3:$DV$22,4,FALSE))</f>
        <v>0</v>
      </c>
    </row>
    <row r="39" spans="1:86" x14ac:dyDescent="0.25">
      <c r="E39" s="198"/>
      <c r="F39" s="198"/>
      <c r="G39" s="198"/>
      <c r="H39" s="198"/>
      <c r="I39" s="198"/>
      <c r="J39" s="198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198"/>
      <c r="AB39" s="198"/>
      <c r="AC39" s="198"/>
      <c r="AD39" s="198"/>
      <c r="AE39" s="198"/>
    </row>
    <row r="43" spans="1:86" x14ac:dyDescent="0.25">
      <c r="CE43" s="35" t="s">
        <v>807</v>
      </c>
      <c r="CF43" s="180"/>
      <c r="CG43" s="180"/>
      <c r="CH43" s="40"/>
    </row>
    <row r="44" spans="1:86" x14ac:dyDescent="0.25">
      <c r="CE44" s="144" t="s">
        <v>808</v>
      </c>
      <c r="CF44" s="4"/>
      <c r="CG44" s="4"/>
      <c r="CH44" s="155"/>
    </row>
    <row r="45" spans="1:86" x14ac:dyDescent="0.25">
      <c r="CE45" s="182" t="s">
        <v>249</v>
      </c>
      <c r="CF45" s="183">
        <v>4</v>
      </c>
      <c r="CG45" s="183"/>
      <c r="CH45" s="184"/>
    </row>
    <row r="46" spans="1:86" x14ac:dyDescent="0.25">
      <c r="CE46" s="182"/>
      <c r="CF46" s="183"/>
      <c r="CG46" s="183"/>
      <c r="CH46" s="184"/>
    </row>
    <row r="47" spans="1:86" x14ac:dyDescent="0.25">
      <c r="CE47" s="189" t="s">
        <v>48</v>
      </c>
      <c r="CF47" s="190">
        <v>4</v>
      </c>
      <c r="CG47" s="190"/>
      <c r="CH47" s="191"/>
    </row>
    <row r="48" spans="1:86" x14ac:dyDescent="0.25">
      <c r="CE48" s="6" t="s">
        <v>267</v>
      </c>
      <c r="CF48" s="4">
        <v>4</v>
      </c>
      <c r="CG48" s="4"/>
      <c r="CH48" s="155"/>
    </row>
    <row r="49" spans="83:86" x14ac:dyDescent="0.25">
      <c r="CE49" s="6" t="s">
        <v>271</v>
      </c>
      <c r="CF49" s="4">
        <v>4</v>
      </c>
      <c r="CG49" s="4"/>
      <c r="CH49" s="155"/>
    </row>
    <row r="50" spans="83:86" x14ac:dyDescent="0.25">
      <c r="CE50" s="6" t="s">
        <v>120</v>
      </c>
      <c r="CF50" s="4">
        <v>4</v>
      </c>
      <c r="CG50" s="4"/>
      <c r="CH50" s="155"/>
    </row>
    <row r="51" spans="83:86" x14ac:dyDescent="0.25">
      <c r="CE51" s="6" t="s">
        <v>276</v>
      </c>
      <c r="CF51" s="4">
        <v>4</v>
      </c>
      <c r="CG51" s="4"/>
      <c r="CH51" s="155"/>
    </row>
    <row r="52" spans="83:86" x14ac:dyDescent="0.25">
      <c r="CE52" s="6" t="s">
        <v>123</v>
      </c>
      <c r="CF52" s="4">
        <v>2</v>
      </c>
      <c r="CG52" s="4"/>
      <c r="CH52" s="155"/>
    </row>
    <row r="53" spans="83:86" x14ac:dyDescent="0.25">
      <c r="CE53" s="144" t="s">
        <v>809</v>
      </c>
      <c r="CF53" s="4"/>
      <c r="CG53" s="4"/>
      <c r="CH53" s="155"/>
    </row>
    <row r="54" spans="83:86" x14ac:dyDescent="0.25">
      <c r="CE54" s="36" t="s">
        <v>58</v>
      </c>
      <c r="CF54" s="149"/>
      <c r="CG54" s="149"/>
      <c r="CH54" s="156"/>
    </row>
  </sheetData>
  <conditionalFormatting sqref="A1:CA1">
    <cfRule type="expression" dxfId="31" priority="23">
      <formula>A5&lt;&gt;0</formula>
    </cfRule>
  </conditionalFormatting>
  <conditionalFormatting sqref="A2:CA2">
    <cfRule type="expression" dxfId="30" priority="22">
      <formula>A5&lt;&gt;0</formula>
    </cfRule>
  </conditionalFormatting>
  <conditionalFormatting sqref="A5:CA5">
    <cfRule type="expression" dxfId="29" priority="21">
      <formula>A6&lt;&gt;0</formula>
    </cfRule>
  </conditionalFormatting>
  <conditionalFormatting sqref="CE47:CH47 A6:XFD6 A5:CA5 CC5:CV6">
    <cfRule type="cellIs" dxfId="28" priority="20" operator="notEqual">
      <formula>0</formula>
    </cfRule>
  </conditionalFormatting>
  <conditionalFormatting sqref="CC1:CV1">
    <cfRule type="expression" dxfId="27" priority="15">
      <formula>CC5&lt;&gt;0</formula>
    </cfRule>
  </conditionalFormatting>
  <conditionalFormatting sqref="CC2:CV2">
    <cfRule type="expression" dxfId="26" priority="14">
      <formula>CC5&lt;&gt;0</formula>
    </cfRule>
  </conditionalFormatting>
  <conditionalFormatting sqref="A3:CA4 CC3:CV4">
    <cfRule type="expression" dxfId="25" priority="13">
      <formula>A5&lt;&gt;0</formula>
    </cfRule>
  </conditionalFormatting>
  <conditionalFormatting sqref="A1:CV1">
    <cfRule type="expression" dxfId="24" priority="10">
      <formula>A4&lt;&gt;0</formula>
    </cfRule>
  </conditionalFormatting>
  <conditionalFormatting sqref="A2:CV2">
    <cfRule type="expression" dxfId="23" priority="9">
      <formula>A4&lt;&gt;0</formula>
    </cfRule>
  </conditionalFormatting>
  <conditionalFormatting sqref="A3:CV3">
    <cfRule type="expression" dxfId="22" priority="8">
      <formula>A4&lt;&gt;0</formula>
    </cfRule>
  </conditionalFormatting>
  <conditionalFormatting sqref="A4:CV4">
    <cfRule type="cellIs" dxfId="21" priority="7" operator="notEqual">
      <formula>0</formula>
    </cfRule>
  </conditionalFormatting>
  <conditionalFormatting sqref="CD4:CN4">
    <cfRule type="cellIs" dxfId="20" priority="6" operator="notEqual">
      <formula>0</formula>
    </cfRule>
  </conditionalFormatting>
  <conditionalFormatting sqref="AH6">
    <cfRule type="expression" dxfId="19" priority="5">
      <formula>AH7&lt;&gt;0</formula>
    </cfRule>
  </conditionalFormatting>
  <conditionalFormatting sqref="AI6">
    <cfRule type="expression" dxfId="18" priority="4">
      <formula>AI7&lt;&gt;0</formula>
    </cfRule>
  </conditionalFormatting>
  <conditionalFormatting sqref="CC5:CS5">
    <cfRule type="expression" dxfId="17" priority="3">
      <formula>CC6&lt;&gt;0</formula>
    </cfRule>
  </conditionalFormatting>
  <conditionalFormatting sqref="A1:BS1048576 BU1:XFD1048576 BT1:BT6 BT13:BT1048576">
    <cfRule type="cellIs" dxfId="16" priority="2" operator="equal">
      <formula>0</formula>
    </cfRule>
  </conditionalFormatting>
  <conditionalFormatting sqref="BT7:BT12">
    <cfRule type="cellIs" dxfId="15" priority="1" operator="equal">
      <formula>0</formula>
    </cfRule>
  </conditionalFormatting>
  <dataValidations count="3">
    <dataValidation type="list" allowBlank="1" showInputMessage="1" showErrorMessage="1" sqref="A4:CA4 CC4 CO4:CV4">
      <formula1>$DW$19:$DW$21</formula1>
    </dataValidation>
    <dataValidation type="list" allowBlank="1" showInputMessage="1" showErrorMessage="1" sqref="A7:CV22">
      <formula1>#REF!</formula1>
    </dataValidation>
    <dataValidation type="list" allowBlank="1" showInputMessage="1" showErrorMessage="1" sqref="A7:CA22 CC7:CV22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122"/>
  <sheetViews>
    <sheetView topLeftCell="A40" workbookViewId="0">
      <selection activeCell="C59" sqref="C59"/>
    </sheetView>
  </sheetViews>
  <sheetFormatPr defaultRowHeight="15" x14ac:dyDescent="0.25"/>
  <cols>
    <col min="1" max="1" width="9.140625" style="7"/>
    <col min="2" max="2" width="16" style="7" bestFit="1" customWidth="1"/>
    <col min="3" max="3" width="11.42578125" style="239" customWidth="1"/>
    <col min="4" max="4" width="11.42578125" style="199" customWidth="1"/>
    <col min="5" max="6" width="11.42578125" style="7" customWidth="1"/>
    <col min="7" max="7" width="11.42578125" style="248" customWidth="1"/>
    <col min="8" max="9" width="11.42578125" style="7" customWidth="1"/>
    <col min="10" max="16384" width="9.140625" style="7"/>
  </cols>
  <sheetData>
    <row r="1" spans="1:15" x14ac:dyDescent="0.25">
      <c r="C1" s="247" t="s">
        <v>1327</v>
      </c>
      <c r="D1" s="238" t="s">
        <v>1328</v>
      </c>
      <c r="E1" s="238" t="s">
        <v>1329</v>
      </c>
      <c r="F1" s="238" t="s">
        <v>1330</v>
      </c>
      <c r="G1" s="247" t="s">
        <v>1331</v>
      </c>
      <c r="H1" s="246" t="s">
        <v>1332</v>
      </c>
      <c r="I1" s="246" t="s">
        <v>1326</v>
      </c>
    </row>
    <row r="2" spans="1:15" ht="15" customHeight="1" x14ac:dyDescent="0.25">
      <c r="A2" s="247" t="s">
        <v>1327</v>
      </c>
      <c r="B2" s="82" t="s">
        <v>234</v>
      </c>
      <c r="C2" s="243" t="s">
        <v>321</v>
      </c>
      <c r="D2" s="243" t="s">
        <v>865</v>
      </c>
      <c r="E2" s="243" t="s">
        <v>963</v>
      </c>
      <c r="F2" s="243" t="s">
        <v>1060</v>
      </c>
      <c r="G2" s="243" t="s">
        <v>1253</v>
      </c>
      <c r="H2" s="243" t="s">
        <v>1157</v>
      </c>
      <c r="I2" s="240" t="s">
        <v>2156</v>
      </c>
      <c r="O2" s="7" t="str">
        <f>IF('gevaarljike stoffen'!$O$17&lt;&gt;0,#REF!,'H phrases'!B2)</f>
        <v>H200</v>
      </c>
    </row>
    <row r="3" spans="1:15" ht="15" customHeight="1" x14ac:dyDescent="0.25">
      <c r="A3" s="238" t="s">
        <v>1328</v>
      </c>
      <c r="B3" s="82" t="s">
        <v>236</v>
      </c>
      <c r="C3" s="243" t="s">
        <v>322</v>
      </c>
      <c r="D3" s="243" t="s">
        <v>866</v>
      </c>
      <c r="E3" s="243" t="s">
        <v>964</v>
      </c>
      <c r="F3" s="243" t="s">
        <v>1118</v>
      </c>
      <c r="G3" s="243" t="s">
        <v>1254</v>
      </c>
      <c r="H3" s="243" t="s">
        <v>1158</v>
      </c>
      <c r="I3" s="240" t="s">
        <v>2157</v>
      </c>
      <c r="O3" s="7" t="str">
        <f>IF('gevaarljike stoffen'!$O$17&lt;&gt;0,#REF!,'H phrases'!B3)</f>
        <v>H201</v>
      </c>
    </row>
    <row r="4" spans="1:15" ht="15" customHeight="1" x14ac:dyDescent="0.25">
      <c r="A4" s="238" t="s">
        <v>1329</v>
      </c>
      <c r="B4" s="82" t="s">
        <v>237</v>
      </c>
      <c r="C4" s="243" t="s">
        <v>323</v>
      </c>
      <c r="D4" s="243" t="s">
        <v>867</v>
      </c>
      <c r="E4" s="243" t="s">
        <v>965</v>
      </c>
      <c r="F4" s="243" t="s">
        <v>1119</v>
      </c>
      <c r="G4" s="243" t="s">
        <v>1255</v>
      </c>
      <c r="H4" s="243" t="s">
        <v>1159</v>
      </c>
      <c r="I4" s="240" t="s">
        <v>2158</v>
      </c>
      <c r="O4" s="7" t="str">
        <f>IF('gevaarljike stoffen'!$O$17&lt;&gt;0,#REF!,'H phrases'!B4)</f>
        <v>H202</v>
      </c>
    </row>
    <row r="5" spans="1:15" ht="15" customHeight="1" x14ac:dyDescent="0.25">
      <c r="A5" s="238" t="s">
        <v>1330</v>
      </c>
      <c r="B5" s="82" t="s">
        <v>238</v>
      </c>
      <c r="C5" s="243" t="s">
        <v>324</v>
      </c>
      <c r="D5" s="243" t="s">
        <v>868</v>
      </c>
      <c r="E5" s="243" t="s">
        <v>966</v>
      </c>
      <c r="F5" s="245" t="s">
        <v>1061</v>
      </c>
      <c r="G5" s="243" t="s">
        <v>1256</v>
      </c>
      <c r="H5" s="243" t="s">
        <v>1160</v>
      </c>
      <c r="I5" s="240" t="s">
        <v>2159</v>
      </c>
      <c r="O5" s="7" t="str">
        <f>IF('gevaarljike stoffen'!$O$17&lt;&gt;0,#REF!,'H phrases'!B5)</f>
        <v>H203</v>
      </c>
    </row>
    <row r="6" spans="1:15" ht="15" customHeight="1" x14ac:dyDescent="0.25">
      <c r="A6" s="247" t="s">
        <v>1331</v>
      </c>
      <c r="B6" s="82" t="s">
        <v>245</v>
      </c>
      <c r="C6" s="243" t="s">
        <v>325</v>
      </c>
      <c r="D6" s="243" t="s">
        <v>869</v>
      </c>
      <c r="E6" s="243" t="s">
        <v>967</v>
      </c>
      <c r="F6" s="245" t="s">
        <v>1062</v>
      </c>
      <c r="G6" s="243" t="s">
        <v>1257</v>
      </c>
      <c r="H6" s="243" t="s">
        <v>1161</v>
      </c>
      <c r="I6" s="240" t="s">
        <v>2160</v>
      </c>
      <c r="O6" s="7" t="str">
        <f>IF('gevaarljike stoffen'!$O$17&lt;&gt;0,#REF!,'H phrases'!B6)</f>
        <v>H204</v>
      </c>
    </row>
    <row r="7" spans="1:15" ht="15" customHeight="1" x14ac:dyDescent="0.25">
      <c r="A7" s="246" t="s">
        <v>1332</v>
      </c>
      <c r="B7" s="82" t="s">
        <v>246</v>
      </c>
      <c r="C7" s="243" t="s">
        <v>326</v>
      </c>
      <c r="D7" s="243" t="s">
        <v>870</v>
      </c>
      <c r="E7" s="243" t="s">
        <v>968</v>
      </c>
      <c r="F7" s="245" t="s">
        <v>1063</v>
      </c>
      <c r="G7" s="243" t="s">
        <v>1258</v>
      </c>
      <c r="H7" s="243" t="s">
        <v>1162</v>
      </c>
      <c r="I7" s="240" t="s">
        <v>2161</v>
      </c>
      <c r="O7" s="7" t="str">
        <f>IF('gevaarljike stoffen'!$O$17&lt;&gt;0,#REF!,'H phrases'!B7)</f>
        <v>H205</v>
      </c>
    </row>
    <row r="8" spans="1:15" ht="15" customHeight="1" x14ac:dyDescent="0.25">
      <c r="A8" s="246" t="s">
        <v>1326</v>
      </c>
      <c r="B8" s="82" t="s">
        <v>248</v>
      </c>
      <c r="C8" s="243" t="s">
        <v>327</v>
      </c>
      <c r="D8" s="243" t="s">
        <v>871</v>
      </c>
      <c r="E8" s="243" t="s">
        <v>969</v>
      </c>
      <c r="F8" s="243" t="s">
        <v>1064</v>
      </c>
      <c r="G8" s="243" t="s">
        <v>1259</v>
      </c>
      <c r="H8" s="243" t="s">
        <v>1163</v>
      </c>
      <c r="I8" s="240" t="s">
        <v>2162</v>
      </c>
      <c r="O8" s="7" t="str">
        <f>IF('gevaarljike stoffen'!$O$17&lt;&gt;0,#REF!,'H phrases'!B8)</f>
        <v>H220</v>
      </c>
    </row>
    <row r="9" spans="1:15" ht="15" customHeight="1" x14ac:dyDescent="0.25">
      <c r="B9" s="82" t="s">
        <v>10</v>
      </c>
      <c r="C9" s="243" t="s">
        <v>328</v>
      </c>
      <c r="D9" s="243" t="s">
        <v>872</v>
      </c>
      <c r="E9" s="243" t="s">
        <v>970</v>
      </c>
      <c r="F9" s="243" t="s">
        <v>1065</v>
      </c>
      <c r="G9" s="243" t="s">
        <v>1260</v>
      </c>
      <c r="H9" s="243" t="s">
        <v>1164</v>
      </c>
      <c r="I9" s="240" t="s">
        <v>2163</v>
      </c>
      <c r="O9" s="7" t="str">
        <f>IF('gevaarljike stoffen'!$O$17&lt;&gt;0,#REF!,'H phrases'!B9)</f>
        <v>H221</v>
      </c>
    </row>
    <row r="10" spans="1:15" ht="15" customHeight="1" x14ac:dyDescent="0.25">
      <c r="B10" s="82" t="s">
        <v>249</v>
      </c>
      <c r="C10" s="243" t="s">
        <v>329</v>
      </c>
      <c r="D10" s="243" t="s">
        <v>873</v>
      </c>
      <c r="E10" s="243" t="s">
        <v>971</v>
      </c>
      <c r="F10" s="243" t="s">
        <v>1066</v>
      </c>
      <c r="G10" s="243" t="s">
        <v>1261</v>
      </c>
      <c r="H10" s="243" t="s">
        <v>1165</v>
      </c>
      <c r="I10" s="240" t="s">
        <v>2164</v>
      </c>
      <c r="O10" s="7" t="str">
        <f>IF('gevaarljike stoffen'!$O$17&lt;&gt;0,#REF!,'H phrases'!B10)</f>
        <v>H222</v>
      </c>
    </row>
    <row r="11" spans="1:15" ht="15" customHeight="1" x14ac:dyDescent="0.25">
      <c r="B11" s="82" t="s">
        <v>14</v>
      </c>
      <c r="C11" s="243" t="s">
        <v>330</v>
      </c>
      <c r="D11" s="243" t="s">
        <v>874</v>
      </c>
      <c r="E11" s="243" t="s">
        <v>972</v>
      </c>
      <c r="F11" s="243" t="s">
        <v>1067</v>
      </c>
      <c r="G11" s="243" t="s">
        <v>1262</v>
      </c>
      <c r="H11" s="243" t="s">
        <v>1166</v>
      </c>
      <c r="I11" s="240" t="s">
        <v>2165</v>
      </c>
      <c r="O11" s="7" t="str">
        <f>IF('gevaarljike stoffen'!$O$17&lt;&gt;0,#REF!,'H phrases'!B11)</f>
        <v>H223</v>
      </c>
    </row>
    <row r="12" spans="1:15" ht="15" customHeight="1" x14ac:dyDescent="0.25">
      <c r="B12" s="82" t="s">
        <v>25</v>
      </c>
      <c r="C12" s="243" t="s">
        <v>331</v>
      </c>
      <c r="D12" s="243" t="s">
        <v>875</v>
      </c>
      <c r="E12" s="243" t="s">
        <v>973</v>
      </c>
      <c r="F12" s="243" t="s">
        <v>1068</v>
      </c>
      <c r="G12" s="243" t="s">
        <v>1263</v>
      </c>
      <c r="H12" s="243" t="s">
        <v>1167</v>
      </c>
      <c r="I12" s="240" t="s">
        <v>2166</v>
      </c>
      <c r="O12" s="7" t="str">
        <f>IF('gevaarljike stoffen'!$O$17&lt;&gt;0,#REF!,'H phrases'!B12)</f>
        <v>H224</v>
      </c>
    </row>
    <row r="13" spans="1:15" ht="15" customHeight="1" x14ac:dyDescent="0.25">
      <c r="B13" s="82" t="s">
        <v>33</v>
      </c>
      <c r="C13" s="243" t="s">
        <v>332</v>
      </c>
      <c r="D13" s="243" t="s">
        <v>876</v>
      </c>
      <c r="E13" s="243" t="s">
        <v>974</v>
      </c>
      <c r="F13" s="243" t="s">
        <v>1069</v>
      </c>
      <c r="G13" s="243" t="s">
        <v>1264</v>
      </c>
      <c r="H13" s="243" t="s">
        <v>1168</v>
      </c>
      <c r="I13" s="240" t="s">
        <v>2167</v>
      </c>
      <c r="O13" s="7" t="str">
        <f>IF('gevaarljike stoffen'!$O$17&lt;&gt;0,#REF!,'H phrases'!B13)</f>
        <v>H225</v>
      </c>
    </row>
    <row r="14" spans="1:15" ht="15" customHeight="1" x14ac:dyDescent="0.25">
      <c r="B14" s="82" t="s">
        <v>34</v>
      </c>
      <c r="C14" s="243" t="s">
        <v>333</v>
      </c>
      <c r="D14" s="243" t="s">
        <v>877</v>
      </c>
      <c r="E14" s="243" t="s">
        <v>975</v>
      </c>
      <c r="F14" s="243" t="s">
        <v>1070</v>
      </c>
      <c r="G14" s="243" t="s">
        <v>1265</v>
      </c>
      <c r="H14" s="243" t="s">
        <v>1169</v>
      </c>
      <c r="I14" s="240" t="s">
        <v>2168</v>
      </c>
      <c r="O14" s="7" t="str">
        <f>IF('gevaarljike stoffen'!$O$17&lt;&gt;0,#REF!,'H phrases'!B14)</f>
        <v>H226</v>
      </c>
    </row>
    <row r="15" spans="1:15" ht="15" customHeight="1" x14ac:dyDescent="0.25">
      <c r="B15" s="82" t="s">
        <v>35</v>
      </c>
      <c r="C15" s="243" t="s">
        <v>334</v>
      </c>
      <c r="D15" s="243" t="s">
        <v>878</v>
      </c>
      <c r="E15" s="243" t="s">
        <v>976</v>
      </c>
      <c r="F15" s="243" t="s">
        <v>1071</v>
      </c>
      <c r="G15" s="243" t="s">
        <v>1266</v>
      </c>
      <c r="H15" s="243" t="s">
        <v>1170</v>
      </c>
      <c r="I15" s="240" t="s">
        <v>2169</v>
      </c>
      <c r="O15" s="7" t="str">
        <f>IF('gevaarljike stoffen'!$O$17&lt;&gt;0,#REF!,'H phrases'!B15)</f>
        <v>H228</v>
      </c>
    </row>
    <row r="16" spans="1:15" ht="15" customHeight="1" x14ac:dyDescent="0.25">
      <c r="B16" s="82" t="s">
        <v>36</v>
      </c>
      <c r="C16" s="243" t="s">
        <v>335</v>
      </c>
      <c r="D16" s="243" t="s">
        <v>879</v>
      </c>
      <c r="E16" s="243" t="s">
        <v>977</v>
      </c>
      <c r="F16" s="245" t="s">
        <v>1072</v>
      </c>
      <c r="G16" s="243" t="s">
        <v>1267</v>
      </c>
      <c r="H16" s="243" t="s">
        <v>1171</v>
      </c>
      <c r="I16" s="240" t="s">
        <v>2170</v>
      </c>
      <c r="O16" s="7" t="str">
        <f>IF('gevaarljike stoffen'!$O$17&lt;&gt;0,#REF!,'H phrases'!B16)</f>
        <v>H240</v>
      </c>
    </row>
    <row r="17" spans="2:15" ht="15" customHeight="1" x14ac:dyDescent="0.25">
      <c r="B17" s="82" t="s">
        <v>41</v>
      </c>
      <c r="C17" s="243" t="s">
        <v>336</v>
      </c>
      <c r="D17" s="243" t="s">
        <v>880</v>
      </c>
      <c r="E17" s="243" t="s">
        <v>978</v>
      </c>
      <c r="F17" s="243" t="s">
        <v>1073</v>
      </c>
      <c r="G17" s="243" t="s">
        <v>1268</v>
      </c>
      <c r="H17" s="243" t="s">
        <v>1172</v>
      </c>
      <c r="I17" s="240" t="s">
        <v>2171</v>
      </c>
      <c r="O17" s="7" t="str">
        <f>IF('gevaarljike stoffen'!$O$17&lt;&gt;0,#REF!,'H phrases'!B17)</f>
        <v>H241</v>
      </c>
    </row>
    <row r="18" spans="2:15" ht="15" customHeight="1" x14ac:dyDescent="0.25">
      <c r="B18" s="82" t="s">
        <v>42</v>
      </c>
      <c r="C18" s="243" t="s">
        <v>337</v>
      </c>
      <c r="D18" s="243" t="s">
        <v>881</v>
      </c>
      <c r="E18" s="243" t="s">
        <v>979</v>
      </c>
      <c r="F18" s="245" t="s">
        <v>1074</v>
      </c>
      <c r="G18" s="243" t="s">
        <v>1269</v>
      </c>
      <c r="H18" s="243" t="s">
        <v>1173</v>
      </c>
      <c r="I18" s="240" t="s">
        <v>2172</v>
      </c>
      <c r="O18" s="7" t="str">
        <f>IF('gevaarljike stoffen'!$O$17&lt;&gt;0,#REF!,'H phrases'!B18)</f>
        <v>H242</v>
      </c>
    </row>
    <row r="19" spans="2:15" ht="15" customHeight="1" x14ac:dyDescent="0.25">
      <c r="B19" s="82" t="s">
        <v>43</v>
      </c>
      <c r="C19" s="243" t="s">
        <v>338</v>
      </c>
      <c r="D19" s="243" t="s">
        <v>882</v>
      </c>
      <c r="E19" s="243" t="s">
        <v>980</v>
      </c>
      <c r="F19" s="243" t="s">
        <v>1075</v>
      </c>
      <c r="G19" s="243" t="s">
        <v>1270</v>
      </c>
      <c r="H19" s="243" t="s">
        <v>1174</v>
      </c>
      <c r="I19" s="240" t="s">
        <v>2173</v>
      </c>
      <c r="O19" s="7" t="str">
        <f>IF('gevaarljike stoffen'!$O$17&lt;&gt;0,#REF!,'H phrases'!B19)</f>
        <v>H250</v>
      </c>
    </row>
    <row r="20" spans="2:15" ht="15" customHeight="1" x14ac:dyDescent="0.25">
      <c r="B20" s="82" t="s">
        <v>48</v>
      </c>
      <c r="C20" s="243" t="s">
        <v>339</v>
      </c>
      <c r="D20" s="243" t="s">
        <v>883</v>
      </c>
      <c r="E20" s="243" t="s">
        <v>981</v>
      </c>
      <c r="F20" s="245" t="s">
        <v>1120</v>
      </c>
      <c r="G20" s="243" t="s">
        <v>1271</v>
      </c>
      <c r="H20" s="243" t="s">
        <v>1175</v>
      </c>
      <c r="I20" s="240" t="s">
        <v>2174</v>
      </c>
      <c r="O20" s="7" t="str">
        <f>IF('gevaarljike stoffen'!$O$17&lt;&gt;0,#REF!,'H phrases'!B20)</f>
        <v>H251</v>
      </c>
    </row>
    <row r="21" spans="2:15" ht="15" customHeight="1" x14ac:dyDescent="0.25">
      <c r="B21" s="82" t="s">
        <v>52</v>
      </c>
      <c r="C21" s="243" t="s">
        <v>340</v>
      </c>
      <c r="D21" s="243" t="s">
        <v>884</v>
      </c>
      <c r="E21" s="243" t="s">
        <v>982</v>
      </c>
      <c r="F21" s="245" t="s">
        <v>1121</v>
      </c>
      <c r="G21" s="243" t="s">
        <v>1272</v>
      </c>
      <c r="H21" s="243" t="s">
        <v>1176</v>
      </c>
      <c r="I21" s="240" t="s">
        <v>2175</v>
      </c>
      <c r="O21" s="7" t="str">
        <f>IF('gevaarljike stoffen'!$O$17&lt;&gt;0,#REF!,'H phrases'!B21)</f>
        <v>H252</v>
      </c>
    </row>
    <row r="22" spans="2:15" ht="15" customHeight="1" x14ac:dyDescent="0.25">
      <c r="B22" s="82" t="s">
        <v>53</v>
      </c>
      <c r="C22" s="243" t="s">
        <v>341</v>
      </c>
      <c r="D22" s="243" t="s">
        <v>885</v>
      </c>
      <c r="E22" s="243" t="s">
        <v>983</v>
      </c>
      <c r="F22" s="243" t="s">
        <v>1076</v>
      </c>
      <c r="G22" s="243" t="s">
        <v>1273</v>
      </c>
      <c r="H22" s="243" t="s">
        <v>1177</v>
      </c>
      <c r="I22" s="240" t="s">
        <v>2176</v>
      </c>
      <c r="O22" s="7" t="str">
        <f>IF('gevaarljike stoffen'!$O$17&lt;&gt;0,#REF!,'H phrases'!B22)</f>
        <v>H260</v>
      </c>
    </row>
    <row r="23" spans="2:15" ht="15" customHeight="1" x14ac:dyDescent="0.25">
      <c r="B23" s="82" t="s">
        <v>57</v>
      </c>
      <c r="C23" s="243" t="s">
        <v>342</v>
      </c>
      <c r="D23" s="243" t="s">
        <v>886</v>
      </c>
      <c r="E23" s="243" t="s">
        <v>984</v>
      </c>
      <c r="F23" s="243" t="s">
        <v>1077</v>
      </c>
      <c r="G23" s="243" t="s">
        <v>1274</v>
      </c>
      <c r="H23" s="243" t="s">
        <v>1178</v>
      </c>
      <c r="I23" s="240" t="s">
        <v>2177</v>
      </c>
      <c r="O23" s="7" t="str">
        <f>IF('gevaarljike stoffen'!$O$17&lt;&gt;0,#REF!,'H phrases'!B23)</f>
        <v>H261</v>
      </c>
    </row>
    <row r="24" spans="2:15" ht="15" customHeight="1" x14ac:dyDescent="0.25">
      <c r="B24" s="82" t="s">
        <v>15</v>
      </c>
      <c r="C24" s="243" t="s">
        <v>557</v>
      </c>
      <c r="D24" s="243" t="s">
        <v>887</v>
      </c>
      <c r="E24" s="243" t="s">
        <v>985</v>
      </c>
      <c r="F24" s="245" t="s">
        <v>1078</v>
      </c>
      <c r="G24" s="243" t="s">
        <v>1275</v>
      </c>
      <c r="H24" s="243" t="s">
        <v>1179</v>
      </c>
      <c r="I24" s="240" t="s">
        <v>2178</v>
      </c>
      <c r="O24" s="7" t="str">
        <f>IF('gevaarljike stoffen'!$O$17&lt;&gt;0,#REF!,'H phrases'!B24)</f>
        <v>H270</v>
      </c>
    </row>
    <row r="25" spans="2:15" ht="15" customHeight="1" x14ac:dyDescent="0.25">
      <c r="B25" s="82" t="s">
        <v>58</v>
      </c>
      <c r="C25" s="243" t="s">
        <v>343</v>
      </c>
      <c r="D25" s="243" t="s">
        <v>888</v>
      </c>
      <c r="E25" s="243" t="s">
        <v>986</v>
      </c>
      <c r="F25" s="243" t="s">
        <v>1079</v>
      </c>
      <c r="G25" s="243" t="s">
        <v>1276</v>
      </c>
      <c r="H25" s="243" t="s">
        <v>1180</v>
      </c>
      <c r="I25" s="240" t="s">
        <v>2179</v>
      </c>
      <c r="O25" s="7" t="str">
        <f>IF('gevaarljike stoffen'!$O$17&lt;&gt;0,#REF!,'H phrases'!B25)</f>
        <v>H271</v>
      </c>
    </row>
    <row r="26" spans="2:15" ht="15" customHeight="1" x14ac:dyDescent="0.25">
      <c r="B26" s="82" t="s">
        <v>63</v>
      </c>
      <c r="C26" s="243" t="s">
        <v>344</v>
      </c>
      <c r="D26" s="243" t="s">
        <v>889</v>
      </c>
      <c r="E26" s="243" t="s">
        <v>987</v>
      </c>
      <c r="F26" s="243" t="s">
        <v>1080</v>
      </c>
      <c r="G26" s="243" t="s">
        <v>1277</v>
      </c>
      <c r="H26" s="243" t="s">
        <v>1181</v>
      </c>
      <c r="I26" s="240" t="s">
        <v>2180</v>
      </c>
      <c r="O26" s="7" t="str">
        <f>IF('gevaarljike stoffen'!$O$17&lt;&gt;0,#REF!,'H phrases'!B26)</f>
        <v>H272</v>
      </c>
    </row>
    <row r="27" spans="2:15" ht="15" customHeight="1" x14ac:dyDescent="0.25">
      <c r="B27" s="82" t="s">
        <v>19</v>
      </c>
      <c r="C27" s="243" t="s">
        <v>345</v>
      </c>
      <c r="D27" s="243" t="s">
        <v>890</v>
      </c>
      <c r="E27" s="243" t="s">
        <v>988</v>
      </c>
      <c r="F27" s="243" t="s">
        <v>1081</v>
      </c>
      <c r="G27" s="243" t="s">
        <v>1278</v>
      </c>
      <c r="H27" s="243" t="s">
        <v>1182</v>
      </c>
      <c r="I27" s="240" t="s">
        <v>2181</v>
      </c>
      <c r="O27" s="7" t="str">
        <f>IF('gevaarljike stoffen'!$O$17&lt;&gt;0,#REF!,'H phrases'!B27)</f>
        <v>H280</v>
      </c>
    </row>
    <row r="28" spans="2:15" ht="15" customHeight="1" x14ac:dyDescent="0.25">
      <c r="B28" s="82" t="s">
        <v>21</v>
      </c>
      <c r="C28" s="243" t="s">
        <v>346</v>
      </c>
      <c r="D28" s="243" t="s">
        <v>891</v>
      </c>
      <c r="E28" s="243" t="s">
        <v>989</v>
      </c>
      <c r="F28" s="243" t="s">
        <v>1082</v>
      </c>
      <c r="G28" s="243" t="s">
        <v>1279</v>
      </c>
      <c r="H28" s="243" t="s">
        <v>1183</v>
      </c>
      <c r="I28" s="240" t="s">
        <v>2182</v>
      </c>
      <c r="O28" s="7" t="str">
        <f>IF('gevaarljike stoffen'!$O$17&lt;&gt;0,#REF!,'H phrases'!B28)</f>
        <v>H281</v>
      </c>
    </row>
    <row r="29" spans="2:15" ht="15" customHeight="1" x14ac:dyDescent="0.25">
      <c r="B29" s="82" t="s">
        <v>66</v>
      </c>
      <c r="C29" s="243" t="s">
        <v>347</v>
      </c>
      <c r="D29" s="243" t="s">
        <v>892</v>
      </c>
      <c r="E29" s="243" t="s">
        <v>990</v>
      </c>
      <c r="F29" s="245" t="s">
        <v>1083</v>
      </c>
      <c r="G29" s="243" t="s">
        <v>1280</v>
      </c>
      <c r="H29" s="243" t="s">
        <v>1184</v>
      </c>
      <c r="I29" s="240" t="s">
        <v>2183</v>
      </c>
      <c r="O29" s="7" t="str">
        <f>IF('gevaarljike stoffen'!$O$17&lt;&gt;0,#REF!,'H phrases'!B29)</f>
        <v>H290</v>
      </c>
    </row>
    <row r="30" spans="2:15" ht="15" customHeight="1" x14ac:dyDescent="0.25">
      <c r="B30" s="82" t="s">
        <v>69</v>
      </c>
      <c r="C30" s="243" t="s">
        <v>348</v>
      </c>
      <c r="D30" s="243" t="s">
        <v>893</v>
      </c>
      <c r="E30" s="243" t="s">
        <v>991</v>
      </c>
      <c r="F30" s="245" t="s">
        <v>1084</v>
      </c>
      <c r="G30" s="243" t="s">
        <v>1281</v>
      </c>
      <c r="H30" s="243" t="s">
        <v>1185</v>
      </c>
      <c r="I30" s="240" t="s">
        <v>2184</v>
      </c>
      <c r="O30" s="7" t="str">
        <f>IF('gevaarljike stoffen'!$O$17&lt;&gt;0,#REF!,'H phrases'!B30)</f>
        <v>H300</v>
      </c>
    </row>
    <row r="31" spans="2:15" ht="15" customHeight="1" x14ac:dyDescent="0.25">
      <c r="B31" s="82" t="s">
        <v>76</v>
      </c>
      <c r="C31" s="243" t="s">
        <v>349</v>
      </c>
      <c r="D31" s="243" t="s">
        <v>894</v>
      </c>
      <c r="E31" s="243" t="s">
        <v>992</v>
      </c>
      <c r="F31" s="245" t="s">
        <v>1085</v>
      </c>
      <c r="G31" s="243" t="s">
        <v>1282</v>
      </c>
      <c r="H31" s="243" t="s">
        <v>1186</v>
      </c>
      <c r="I31" s="240" t="s">
        <v>2185</v>
      </c>
      <c r="O31" s="7" t="str">
        <f>IF('gevaarljike stoffen'!$O$17&lt;&gt;0,#REF!,'H phrases'!B31)</f>
        <v>H301</v>
      </c>
    </row>
    <row r="32" spans="2:15" ht="15" customHeight="1" x14ac:dyDescent="0.25">
      <c r="B32" s="82" t="s">
        <v>77</v>
      </c>
      <c r="C32" s="243" t="s">
        <v>350</v>
      </c>
      <c r="D32" s="243" t="s">
        <v>895</v>
      </c>
      <c r="E32" s="243" t="s">
        <v>993</v>
      </c>
      <c r="F32" s="243" t="s">
        <v>1086</v>
      </c>
      <c r="G32" s="243" t="s">
        <v>1283</v>
      </c>
      <c r="H32" s="243" t="s">
        <v>1187</v>
      </c>
      <c r="I32" s="240" t="s">
        <v>2186</v>
      </c>
      <c r="O32" s="7" t="str">
        <f>IF('gevaarljike stoffen'!$O$17&lt;&gt;0,#REF!,'H phrases'!B32)</f>
        <v>H302</v>
      </c>
    </row>
    <row r="33" spans="2:15" ht="15" customHeight="1" x14ac:dyDescent="0.25">
      <c r="B33" s="82" t="s">
        <v>123</v>
      </c>
      <c r="C33" s="243" t="s">
        <v>351</v>
      </c>
      <c r="D33" s="243" t="s">
        <v>896</v>
      </c>
      <c r="E33" s="243" t="s">
        <v>994</v>
      </c>
      <c r="F33" s="243" t="s">
        <v>1087</v>
      </c>
      <c r="G33" s="243" t="s">
        <v>1284</v>
      </c>
      <c r="H33" s="243" t="s">
        <v>1188</v>
      </c>
      <c r="I33" s="240" t="s">
        <v>2187</v>
      </c>
      <c r="O33" s="7" t="str">
        <f>IF('gevaarljike stoffen'!$O$17&lt;&gt;0,#REF!,'H phrases'!B33)</f>
        <v>H304</v>
      </c>
    </row>
    <row r="34" spans="2:15" ht="15" customHeight="1" x14ac:dyDescent="0.25">
      <c r="B34" s="82" t="s">
        <v>79</v>
      </c>
      <c r="C34" s="243" t="s">
        <v>352</v>
      </c>
      <c r="D34" s="243" t="s">
        <v>897</v>
      </c>
      <c r="E34" s="243" t="s">
        <v>995</v>
      </c>
      <c r="F34" s="245" t="s">
        <v>1088</v>
      </c>
      <c r="G34" s="243" t="s">
        <v>1285</v>
      </c>
      <c r="H34" s="243" t="s">
        <v>1189</v>
      </c>
      <c r="I34" s="240" t="s">
        <v>2188</v>
      </c>
      <c r="O34" s="7" t="str">
        <f>IF('gevaarljike stoffen'!$O$17&lt;&gt;0,#REF!,'H phrases'!B34)</f>
        <v>H310</v>
      </c>
    </row>
    <row r="35" spans="2:15" ht="15" customHeight="1" x14ac:dyDescent="0.25">
      <c r="B35" s="82" t="s">
        <v>86</v>
      </c>
      <c r="C35" s="243" t="s">
        <v>353</v>
      </c>
      <c r="D35" s="243" t="s">
        <v>898</v>
      </c>
      <c r="E35" s="243" t="s">
        <v>996</v>
      </c>
      <c r="F35" s="243" t="s">
        <v>1089</v>
      </c>
      <c r="G35" s="243" t="s">
        <v>1286</v>
      </c>
      <c r="H35" s="243" t="s">
        <v>1190</v>
      </c>
      <c r="I35" s="240" t="s">
        <v>2189</v>
      </c>
      <c r="O35" s="7" t="str">
        <f>IF('gevaarljike stoffen'!$O$17&lt;&gt;0,#REF!,'H phrases'!B35)</f>
        <v>H311</v>
      </c>
    </row>
    <row r="36" spans="2:15" ht="15" customHeight="1" x14ac:dyDescent="0.25">
      <c r="B36" s="82" t="s">
        <v>89</v>
      </c>
      <c r="C36" s="243" t="s">
        <v>354</v>
      </c>
      <c r="D36" s="243" t="s">
        <v>899</v>
      </c>
      <c r="E36" s="243" t="s">
        <v>997</v>
      </c>
      <c r="F36" s="243" t="s">
        <v>1090</v>
      </c>
      <c r="G36" s="243" t="s">
        <v>1287</v>
      </c>
      <c r="H36" s="243" t="s">
        <v>1191</v>
      </c>
      <c r="I36" s="240" t="s">
        <v>2190</v>
      </c>
      <c r="O36" s="7" t="str">
        <f>IF('gevaarljike stoffen'!$O$17&lt;&gt;0,#REF!,'H phrases'!B36)</f>
        <v>H312</v>
      </c>
    </row>
    <row r="37" spans="2:15" ht="15" customHeight="1" x14ac:dyDescent="0.25">
      <c r="B37" s="82" t="s">
        <v>98</v>
      </c>
      <c r="C37" s="243" t="s">
        <v>355</v>
      </c>
      <c r="D37" s="243" t="s">
        <v>900</v>
      </c>
      <c r="E37" s="243" t="s">
        <v>998</v>
      </c>
      <c r="F37" s="243" t="s">
        <v>1091</v>
      </c>
      <c r="G37" s="243" t="s">
        <v>1288</v>
      </c>
      <c r="H37" s="243" t="s">
        <v>1192</v>
      </c>
      <c r="I37" s="241" t="s">
        <v>2191</v>
      </c>
      <c r="O37" s="7" t="str">
        <f>IF('gevaarljike stoffen'!$O$17&lt;&gt;0,#REF!,'H phrases'!B37)</f>
        <v>H314</v>
      </c>
    </row>
    <row r="38" spans="2:15" ht="15" customHeight="1" x14ac:dyDescent="0.25">
      <c r="B38" s="82" t="s">
        <v>101</v>
      </c>
      <c r="C38" s="243" t="s">
        <v>356</v>
      </c>
      <c r="D38" s="243" t="s">
        <v>901</v>
      </c>
      <c r="E38" s="243" t="s">
        <v>999</v>
      </c>
      <c r="F38" s="245" t="s">
        <v>1092</v>
      </c>
      <c r="G38" s="243" t="s">
        <v>1289</v>
      </c>
      <c r="H38" s="243" t="s">
        <v>1193</v>
      </c>
      <c r="I38" s="240" t="s">
        <v>2192</v>
      </c>
      <c r="O38" s="7" t="str">
        <f>IF('gevaarljike stoffen'!$O$17&lt;&gt;0,#REF!,'H phrases'!B38)</f>
        <v>H315</v>
      </c>
    </row>
    <row r="39" spans="2:15" ht="15" customHeight="1" x14ac:dyDescent="0.25">
      <c r="B39" s="82" t="s">
        <v>269</v>
      </c>
      <c r="C39" s="243" t="s">
        <v>357</v>
      </c>
      <c r="D39" s="243" t="s">
        <v>902</v>
      </c>
      <c r="E39" s="243" t="s">
        <v>1000</v>
      </c>
      <c r="F39" s="245" t="s">
        <v>1093</v>
      </c>
      <c r="G39" s="243" t="s">
        <v>1290</v>
      </c>
      <c r="H39" s="243" t="s">
        <v>1194</v>
      </c>
      <c r="I39" s="240" t="s">
        <v>2193</v>
      </c>
      <c r="O39" s="7" t="str">
        <f>IF('gevaarljike stoffen'!$O$17&lt;&gt;0,#REF!,'H phrases'!B39)</f>
        <v>H317</v>
      </c>
    </row>
    <row r="40" spans="2:15" ht="15" customHeight="1" x14ac:dyDescent="0.25">
      <c r="B40" s="82" t="s">
        <v>103</v>
      </c>
      <c r="C40" s="243" t="s">
        <v>358</v>
      </c>
      <c r="D40" s="243" t="s">
        <v>903</v>
      </c>
      <c r="E40" s="243" t="s">
        <v>1001</v>
      </c>
      <c r="F40" s="245" t="s">
        <v>1094</v>
      </c>
      <c r="G40" s="243" t="s">
        <v>1291</v>
      </c>
      <c r="H40" s="243" t="s">
        <v>1195</v>
      </c>
      <c r="I40" s="240" t="s">
        <v>2194</v>
      </c>
      <c r="O40" s="7" t="str">
        <f>IF('gevaarljike stoffen'!$O$17&lt;&gt;0,#REF!,'H phrases'!B40)</f>
        <v>H318</v>
      </c>
    </row>
    <row r="41" spans="2:15" ht="15" customHeight="1" x14ac:dyDescent="0.25">
      <c r="B41" s="82" t="s">
        <v>104</v>
      </c>
      <c r="C41" s="243" t="s">
        <v>359</v>
      </c>
      <c r="D41" s="243" t="s">
        <v>904</v>
      </c>
      <c r="E41" s="243" t="s">
        <v>1002</v>
      </c>
      <c r="F41" s="243" t="s">
        <v>1095</v>
      </c>
      <c r="G41" s="243" t="s">
        <v>1292</v>
      </c>
      <c r="H41" s="243" t="s">
        <v>1196</v>
      </c>
      <c r="I41" s="240" t="s">
        <v>2195</v>
      </c>
      <c r="O41" s="7" t="str">
        <f>IF('gevaarljike stoffen'!$O$17&lt;&gt;0,#REF!,'H phrases'!B41)</f>
        <v>H319</v>
      </c>
    </row>
    <row r="42" spans="2:15" ht="15" customHeight="1" x14ac:dyDescent="0.25">
      <c r="B42" s="82" t="s">
        <v>266</v>
      </c>
      <c r="C42" s="243" t="s">
        <v>360</v>
      </c>
      <c r="D42" s="243" t="s">
        <v>905</v>
      </c>
      <c r="E42" s="243" t="s">
        <v>1003</v>
      </c>
      <c r="F42" s="243" t="s">
        <v>1096</v>
      </c>
      <c r="G42" s="243" t="s">
        <v>1293</v>
      </c>
      <c r="H42" s="243" t="s">
        <v>1197</v>
      </c>
      <c r="I42" s="240" t="s">
        <v>2196</v>
      </c>
      <c r="O42" s="7" t="str">
        <f>IF('gevaarljike stoffen'!$O$17&lt;&gt;0,#REF!,'H phrases'!B42)</f>
        <v>H330</v>
      </c>
    </row>
    <row r="43" spans="2:15" ht="15" customHeight="1" x14ac:dyDescent="0.25">
      <c r="B43" s="82" t="s">
        <v>267</v>
      </c>
      <c r="C43" s="243" t="s">
        <v>361</v>
      </c>
      <c r="D43" s="243" t="s">
        <v>906</v>
      </c>
      <c r="E43" s="243" t="s">
        <v>1004</v>
      </c>
      <c r="F43" s="243" t="s">
        <v>1097</v>
      </c>
      <c r="G43" s="243" t="s">
        <v>1294</v>
      </c>
      <c r="H43" s="243" t="s">
        <v>1198</v>
      </c>
      <c r="I43" s="240" t="s">
        <v>2197</v>
      </c>
      <c r="O43" s="7" t="str">
        <f>IF('gevaarljike stoffen'!$O$17&lt;&gt;0,#REF!,'H phrases'!B43)</f>
        <v>H331</v>
      </c>
    </row>
    <row r="44" spans="2:15" ht="15" customHeight="1" x14ac:dyDescent="0.25">
      <c r="B44" s="82" t="s">
        <v>268</v>
      </c>
      <c r="C44" s="243" t="s">
        <v>362</v>
      </c>
      <c r="D44" s="243" t="s">
        <v>907</v>
      </c>
      <c r="E44" s="243" t="s">
        <v>1005</v>
      </c>
      <c r="F44" s="243" t="s">
        <v>1098</v>
      </c>
      <c r="G44" s="243" t="s">
        <v>1295</v>
      </c>
      <c r="H44" s="243" t="s">
        <v>1199</v>
      </c>
      <c r="I44" s="240" t="s">
        <v>2198</v>
      </c>
      <c r="O44" s="7" t="str">
        <f>IF('gevaarljike stoffen'!$O$17&lt;&gt;0,#REF!,'H phrases'!B44)</f>
        <v>H332</v>
      </c>
    </row>
    <row r="45" spans="2:15" ht="15" customHeight="1" x14ac:dyDescent="0.25">
      <c r="B45" s="82" t="s">
        <v>106</v>
      </c>
      <c r="C45" s="243" t="s">
        <v>363</v>
      </c>
      <c r="D45" s="243" t="s">
        <v>908</v>
      </c>
      <c r="E45" s="243" t="s">
        <v>1006</v>
      </c>
      <c r="F45" s="243" t="s">
        <v>1099</v>
      </c>
      <c r="G45" s="243" t="s">
        <v>1296</v>
      </c>
      <c r="H45" s="243" t="s">
        <v>1200</v>
      </c>
      <c r="I45" s="240" t="s">
        <v>2199</v>
      </c>
      <c r="O45" s="7" t="str">
        <f>IF('gevaarljike stoffen'!$O$17&lt;&gt;0,#REF!,'H phrases'!B45)</f>
        <v>H334</v>
      </c>
    </row>
    <row r="46" spans="2:15" ht="15" customHeight="1" x14ac:dyDescent="0.25">
      <c r="B46" s="82" t="s">
        <v>274</v>
      </c>
      <c r="C46" s="243" t="s">
        <v>364</v>
      </c>
      <c r="D46" s="243" t="s">
        <v>909</v>
      </c>
      <c r="E46" s="243" t="s">
        <v>1007</v>
      </c>
      <c r="F46" s="245" t="s">
        <v>1100</v>
      </c>
      <c r="G46" s="243" t="s">
        <v>1297</v>
      </c>
      <c r="H46" s="243" t="s">
        <v>1201</v>
      </c>
      <c r="I46" s="240" t="s">
        <v>2200</v>
      </c>
      <c r="O46" s="7" t="str">
        <f>IF('gevaarljike stoffen'!$O$17&lt;&gt;0,#REF!,'H phrases'!B46)</f>
        <v>H335</v>
      </c>
    </row>
    <row r="47" spans="2:15" ht="15" customHeight="1" x14ac:dyDescent="0.25">
      <c r="B47" s="82" t="s">
        <v>275</v>
      </c>
      <c r="C47" s="243" t="s">
        <v>365</v>
      </c>
      <c r="D47" s="243" t="s">
        <v>910</v>
      </c>
      <c r="E47" s="243" t="s">
        <v>1008</v>
      </c>
      <c r="F47" s="243" t="s">
        <v>1101</v>
      </c>
      <c r="G47" s="243" t="s">
        <v>1298</v>
      </c>
      <c r="H47" s="243" t="s">
        <v>1202</v>
      </c>
      <c r="I47" s="240" t="s">
        <v>2201</v>
      </c>
      <c r="O47" s="7" t="str">
        <f>IF('gevaarljike stoffen'!$O$17&lt;&gt;0,#REF!,'H phrases'!B47)</f>
        <v>H336</v>
      </c>
    </row>
    <row r="48" spans="2:15" ht="15" customHeight="1" x14ac:dyDescent="0.25">
      <c r="B48" s="82" t="s">
        <v>111</v>
      </c>
      <c r="C48" s="243" t="s">
        <v>658</v>
      </c>
      <c r="D48" s="243" t="s">
        <v>927</v>
      </c>
      <c r="E48" s="243" t="s">
        <v>1025</v>
      </c>
      <c r="F48" s="243" t="s">
        <v>1122</v>
      </c>
      <c r="G48" s="243" t="s">
        <v>1315</v>
      </c>
      <c r="H48" s="243" t="s">
        <v>1219</v>
      </c>
      <c r="I48" s="240" t="s">
        <v>2218</v>
      </c>
      <c r="O48" s="7" t="str">
        <f>IF('gevaarljike stoffen'!$O$17&lt;&gt;0,#REF!,'H phrases'!B48)</f>
        <v>H340</v>
      </c>
    </row>
    <row r="49" spans="2:15" ht="15" customHeight="1" x14ac:dyDescent="0.25">
      <c r="B49" s="82" t="s">
        <v>113</v>
      </c>
      <c r="C49" s="243" t="s">
        <v>659</v>
      </c>
      <c r="D49" s="243" t="s">
        <v>928</v>
      </c>
      <c r="E49" s="243" t="s">
        <v>1026</v>
      </c>
      <c r="F49" s="245" t="s">
        <v>1123</v>
      </c>
      <c r="G49" s="243" t="s">
        <v>1316</v>
      </c>
      <c r="H49" s="243" t="s">
        <v>1220</v>
      </c>
      <c r="I49" s="240" t="s">
        <v>2219</v>
      </c>
      <c r="O49" s="7" t="str">
        <f>IF('gevaarljike stoffen'!$O$17&lt;&gt;0,#REF!,'H phrases'!B49)</f>
        <v>H341</v>
      </c>
    </row>
    <row r="50" spans="2:15" ht="15" customHeight="1" x14ac:dyDescent="0.25">
      <c r="B50" s="82" t="s">
        <v>114</v>
      </c>
      <c r="C50" s="243" t="s">
        <v>660</v>
      </c>
      <c r="D50" s="243" t="s">
        <v>929</v>
      </c>
      <c r="E50" s="243" t="s">
        <v>1027</v>
      </c>
      <c r="F50" s="243" t="s">
        <v>1124</v>
      </c>
      <c r="G50" s="243" t="s">
        <v>1317</v>
      </c>
      <c r="H50" s="243" t="s">
        <v>1221</v>
      </c>
      <c r="I50" s="240" t="s">
        <v>2220</v>
      </c>
      <c r="O50" s="7" t="str">
        <f>IF('gevaarljike stoffen'!$O$17&lt;&gt;0,#REF!,'H phrases'!B50)</f>
        <v>H350</v>
      </c>
    </row>
    <row r="51" spans="2:15" ht="15" customHeight="1" x14ac:dyDescent="0.25">
      <c r="B51" s="82" t="s">
        <v>700</v>
      </c>
      <c r="C51" s="243" t="s">
        <v>711</v>
      </c>
      <c r="D51" s="244" t="s">
        <v>911</v>
      </c>
      <c r="E51" s="244" t="s">
        <v>1009</v>
      </c>
      <c r="F51" s="244" t="s">
        <v>1102</v>
      </c>
      <c r="G51" s="244" t="s">
        <v>1299</v>
      </c>
      <c r="H51" s="244" t="s">
        <v>1203</v>
      </c>
      <c r="I51" s="242" t="s">
        <v>2202</v>
      </c>
      <c r="O51" s="7" t="str">
        <f>IF('gevaarljike stoffen'!$O$17&lt;&gt;0,#REF!,'H phrases'!B51)</f>
        <v>H350i</v>
      </c>
    </row>
    <row r="52" spans="2:15" ht="15" customHeight="1" x14ac:dyDescent="0.25">
      <c r="B52" s="82" t="s">
        <v>270</v>
      </c>
      <c r="C52" s="243" t="s">
        <v>661</v>
      </c>
      <c r="D52" s="243" t="s">
        <v>930</v>
      </c>
      <c r="E52" s="243" t="s">
        <v>1028</v>
      </c>
      <c r="F52" s="245" t="s">
        <v>1125</v>
      </c>
      <c r="G52" s="243" t="s">
        <v>1318</v>
      </c>
      <c r="H52" s="243" t="s">
        <v>1222</v>
      </c>
      <c r="I52" s="240" t="s">
        <v>2221</v>
      </c>
      <c r="O52" s="7" t="str">
        <f>IF('gevaarljike stoffen'!$O$17&lt;&gt;0,#REF!,'H phrases'!B52)</f>
        <v>H351</v>
      </c>
    </row>
    <row r="53" spans="2:15" ht="15" customHeight="1" x14ac:dyDescent="0.25">
      <c r="B53" s="82" t="s">
        <v>271</v>
      </c>
      <c r="C53" s="239" t="s">
        <v>718</v>
      </c>
      <c r="D53" s="243" t="s">
        <v>931</v>
      </c>
      <c r="E53" s="243" t="s">
        <v>1029</v>
      </c>
      <c r="F53" s="245" t="s">
        <v>1126</v>
      </c>
      <c r="G53" s="243" t="s">
        <v>1319</v>
      </c>
      <c r="H53" s="243" t="s">
        <v>1223</v>
      </c>
      <c r="I53" s="240" t="s">
        <v>2222</v>
      </c>
      <c r="O53" s="7" t="str">
        <f>IF('gevaarljike stoffen'!$O$17&lt;&gt;0,#REF!,'H phrases'!B53)</f>
        <v>H360</v>
      </c>
    </row>
    <row r="54" spans="2:15" ht="15" customHeight="1" x14ac:dyDescent="0.25">
      <c r="B54" s="82" t="s">
        <v>703</v>
      </c>
      <c r="C54" s="239" t="s">
        <v>712</v>
      </c>
      <c r="D54" s="244" t="s">
        <v>912</v>
      </c>
      <c r="E54" s="244" t="s">
        <v>1010</v>
      </c>
      <c r="F54" s="244" t="s">
        <v>1103</v>
      </c>
      <c r="G54" s="244" t="s">
        <v>1300</v>
      </c>
      <c r="H54" s="244" t="s">
        <v>1204</v>
      </c>
      <c r="I54" s="242" t="s">
        <v>2203</v>
      </c>
      <c r="O54" s="7" t="str">
        <f>IF('gevaarljike stoffen'!$O$17&lt;&gt;0,#REF!,'H phrases'!B54)</f>
        <v>H360F</v>
      </c>
    </row>
    <row r="55" spans="2:15" ht="15" customHeight="1" x14ac:dyDescent="0.25">
      <c r="B55" s="82" t="s">
        <v>701</v>
      </c>
      <c r="C55" s="239" t="s">
        <v>713</v>
      </c>
      <c r="D55" s="244" t="s">
        <v>913</v>
      </c>
      <c r="E55" s="244" t="s">
        <v>1011</v>
      </c>
      <c r="F55" s="244" t="s">
        <v>1104</v>
      </c>
      <c r="G55" s="244" t="s">
        <v>1301</v>
      </c>
      <c r="H55" s="244" t="s">
        <v>1205</v>
      </c>
      <c r="I55" s="242" t="s">
        <v>2204</v>
      </c>
      <c r="O55" s="7" t="str">
        <f>IF('gevaarljike stoffen'!$O$17&lt;&gt;0,#REF!,'H phrases'!B55)</f>
        <v>H360D</v>
      </c>
    </row>
    <row r="56" spans="2:15" ht="15" customHeight="1" x14ac:dyDescent="0.25">
      <c r="B56" s="82" t="s">
        <v>704</v>
      </c>
      <c r="C56" s="239" t="s">
        <v>705</v>
      </c>
      <c r="D56" s="244" t="s">
        <v>914</v>
      </c>
      <c r="E56" s="244" t="s">
        <v>1012</v>
      </c>
      <c r="F56" s="244" t="s">
        <v>1105</v>
      </c>
      <c r="G56" s="244" t="s">
        <v>1302</v>
      </c>
      <c r="H56" s="244" t="s">
        <v>1206</v>
      </c>
      <c r="I56" s="242" t="s">
        <v>2205</v>
      </c>
      <c r="O56" s="7" t="str">
        <f>IF('gevaarljike stoffen'!$O$17&lt;&gt;0,#REF!,'H phrases'!B56)</f>
        <v>H360FD</v>
      </c>
    </row>
    <row r="57" spans="2:15" ht="15" customHeight="1" x14ac:dyDescent="0.25">
      <c r="B57" s="82" t="s">
        <v>714</v>
      </c>
      <c r="C57" s="239" t="s">
        <v>715</v>
      </c>
      <c r="D57" s="244" t="s">
        <v>915</v>
      </c>
      <c r="E57" s="244" t="s">
        <v>1013</v>
      </c>
      <c r="F57" s="244" t="s">
        <v>1106</v>
      </c>
      <c r="G57" s="244" t="s">
        <v>1303</v>
      </c>
      <c r="H57" s="244" t="s">
        <v>1207</v>
      </c>
      <c r="I57" s="242" t="s">
        <v>2206</v>
      </c>
      <c r="O57" s="7" t="str">
        <f>IF('gevaarljike stoffen'!$O$17&lt;&gt;0,#REF!,'H phrases'!B57)</f>
        <v>H360Fd</v>
      </c>
    </row>
    <row r="58" spans="2:15" ht="15" customHeight="1" x14ac:dyDescent="0.25">
      <c r="B58" s="82" t="s">
        <v>702</v>
      </c>
      <c r="C58" s="239" t="s">
        <v>716</v>
      </c>
      <c r="D58" s="244" t="s">
        <v>916</v>
      </c>
      <c r="E58" s="244" t="s">
        <v>1014</v>
      </c>
      <c r="F58" s="244" t="s">
        <v>1107</v>
      </c>
      <c r="G58" s="244" t="s">
        <v>1304</v>
      </c>
      <c r="H58" s="244" t="s">
        <v>1208</v>
      </c>
      <c r="I58" s="242" t="s">
        <v>2207</v>
      </c>
      <c r="O58" s="7" t="str">
        <f>IF('gevaarljike stoffen'!$O$17&lt;&gt;0,#REF!,'H phrases'!B58)</f>
        <v>H360Df</v>
      </c>
    </row>
    <row r="59" spans="2:15" ht="15" customHeight="1" x14ac:dyDescent="0.25">
      <c r="B59" s="82" t="s">
        <v>272</v>
      </c>
      <c r="C59" s="239" t="s">
        <v>719</v>
      </c>
      <c r="D59" s="243" t="s">
        <v>932</v>
      </c>
      <c r="E59" s="243" t="s">
        <v>1030</v>
      </c>
      <c r="F59" s="245" t="s">
        <v>1127</v>
      </c>
      <c r="G59" s="243" t="s">
        <v>1320</v>
      </c>
      <c r="H59" s="243" t="s">
        <v>1224</v>
      </c>
      <c r="I59" s="240" t="s">
        <v>2223</v>
      </c>
      <c r="O59" s="7" t="str">
        <f>IF('gevaarljike stoffen'!$O$17&lt;&gt;0,#REF!,'H phrases'!B59)</f>
        <v>H361</v>
      </c>
    </row>
    <row r="60" spans="2:15" ht="15" customHeight="1" x14ac:dyDescent="0.25">
      <c r="B60" s="82" t="s">
        <v>708</v>
      </c>
      <c r="C60" s="239" t="s">
        <v>709</v>
      </c>
      <c r="D60" s="244" t="s">
        <v>917</v>
      </c>
      <c r="E60" s="244" t="s">
        <v>1015</v>
      </c>
      <c r="F60" s="244" t="s">
        <v>1108</v>
      </c>
      <c r="G60" s="244" t="s">
        <v>1305</v>
      </c>
      <c r="H60" s="244" t="s">
        <v>1209</v>
      </c>
      <c r="I60" s="242" t="s">
        <v>2208</v>
      </c>
      <c r="O60" s="7" t="str">
        <f>IF('gevaarljike stoffen'!$O$17&lt;&gt;0,#REF!,'H phrases'!B60)</f>
        <v>H361f</v>
      </c>
    </row>
    <row r="61" spans="2:15" ht="15" customHeight="1" x14ac:dyDescent="0.25">
      <c r="B61" s="82" t="s">
        <v>706</v>
      </c>
      <c r="C61" s="239" t="s">
        <v>707</v>
      </c>
      <c r="D61" s="244" t="s">
        <v>918</v>
      </c>
      <c r="E61" s="244" t="s">
        <v>1016</v>
      </c>
      <c r="F61" s="244" t="s">
        <v>1109</v>
      </c>
      <c r="G61" s="244" t="s">
        <v>1306</v>
      </c>
      <c r="H61" s="244" t="s">
        <v>1210</v>
      </c>
      <c r="I61" s="242" t="s">
        <v>2209</v>
      </c>
      <c r="O61" s="7" t="str">
        <f>IF('gevaarljike stoffen'!$O$17&lt;&gt;0,#REF!,'H phrases'!B61)</f>
        <v>H361d</v>
      </c>
    </row>
    <row r="62" spans="2:15" ht="15" customHeight="1" x14ac:dyDescent="0.25">
      <c r="B62" s="82" t="s">
        <v>710</v>
      </c>
      <c r="C62" s="239" t="s">
        <v>717</v>
      </c>
      <c r="D62" s="244" t="s">
        <v>919</v>
      </c>
      <c r="E62" s="244" t="s">
        <v>1017</v>
      </c>
      <c r="F62" s="244" t="s">
        <v>1110</v>
      </c>
      <c r="G62" s="244" t="s">
        <v>1307</v>
      </c>
      <c r="H62" s="244" t="s">
        <v>1211</v>
      </c>
      <c r="I62" s="242" t="s">
        <v>2210</v>
      </c>
      <c r="O62" s="7" t="str">
        <f>IF('gevaarljike stoffen'!$O$17&lt;&gt;0,#REF!,'H phrases'!B62)</f>
        <v>H361fd</v>
      </c>
    </row>
    <row r="63" spans="2:15" ht="15" customHeight="1" x14ac:dyDescent="0.25">
      <c r="B63" s="82" t="s">
        <v>273</v>
      </c>
      <c r="C63" s="243" t="s">
        <v>366</v>
      </c>
      <c r="D63" s="243" t="s">
        <v>920</v>
      </c>
      <c r="E63" s="243" t="s">
        <v>1018</v>
      </c>
      <c r="F63" s="243" t="s">
        <v>1111</v>
      </c>
      <c r="G63" s="243" t="s">
        <v>1308</v>
      </c>
      <c r="H63" s="243" t="s">
        <v>1212</v>
      </c>
      <c r="I63" s="240" t="s">
        <v>2211</v>
      </c>
      <c r="O63" s="7" t="str">
        <f>IF('gevaarljike stoffen'!$O$17&lt;&gt;0,#REF!,'H phrases'!B63)</f>
        <v>H362</v>
      </c>
    </row>
    <row r="64" spans="2:15" ht="15" customHeight="1" x14ac:dyDescent="0.25">
      <c r="B64" s="82" t="s">
        <v>116</v>
      </c>
      <c r="C64" s="243" t="s">
        <v>662</v>
      </c>
      <c r="D64" s="243" t="s">
        <v>933</v>
      </c>
      <c r="E64" s="243" t="s">
        <v>1031</v>
      </c>
      <c r="F64" s="245" t="s">
        <v>1128</v>
      </c>
      <c r="G64" s="243" t="s">
        <v>1321</v>
      </c>
      <c r="H64" s="243" t="s">
        <v>1225</v>
      </c>
      <c r="I64" s="240" t="s">
        <v>2224</v>
      </c>
      <c r="O64" s="7" t="str">
        <f>IF('gevaarljike stoffen'!$O$17&lt;&gt;0,#REF!,'H phrases'!B64)</f>
        <v>H370</v>
      </c>
    </row>
    <row r="65" spans="2:15" ht="15" customHeight="1" x14ac:dyDescent="0.25">
      <c r="B65" s="82" t="s">
        <v>118</v>
      </c>
      <c r="C65" s="243" t="s">
        <v>663</v>
      </c>
      <c r="D65" s="243" t="s">
        <v>934</v>
      </c>
      <c r="E65" s="243" t="s">
        <v>1032</v>
      </c>
      <c r="F65" s="245" t="s">
        <v>1129</v>
      </c>
      <c r="G65" s="243" t="s">
        <v>1322</v>
      </c>
      <c r="H65" s="243" t="s">
        <v>1226</v>
      </c>
      <c r="I65" s="240" t="s">
        <v>2225</v>
      </c>
      <c r="O65" s="7" t="str">
        <f>IF('gevaarljike stoffen'!$O$17&lt;&gt;0,#REF!,'H phrases'!B65)</f>
        <v>H371</v>
      </c>
    </row>
    <row r="66" spans="2:15" ht="15" customHeight="1" x14ac:dyDescent="0.25">
      <c r="B66" s="82" t="s">
        <v>120</v>
      </c>
      <c r="C66" s="243" t="s">
        <v>664</v>
      </c>
      <c r="D66" s="243" t="s">
        <v>935</v>
      </c>
      <c r="E66" s="243" t="s">
        <v>1033</v>
      </c>
      <c r="F66" s="245" t="s">
        <v>1130</v>
      </c>
      <c r="G66" s="243" t="s">
        <v>1323</v>
      </c>
      <c r="H66" s="243" t="s">
        <v>1227</v>
      </c>
      <c r="I66" s="240" t="s">
        <v>2226</v>
      </c>
      <c r="O66" s="7" t="str">
        <f>IF('gevaarljike stoffen'!$O$17&lt;&gt;0,#REF!,'H phrases'!B66)</f>
        <v>H372</v>
      </c>
    </row>
    <row r="67" spans="2:15" ht="15" customHeight="1" x14ac:dyDescent="0.25">
      <c r="B67" s="82" t="s">
        <v>122</v>
      </c>
      <c r="C67" s="243" t="s">
        <v>665</v>
      </c>
      <c r="D67" s="243" t="s">
        <v>936</v>
      </c>
      <c r="E67" s="243" t="s">
        <v>1034</v>
      </c>
      <c r="F67" s="243" t="s">
        <v>1131</v>
      </c>
      <c r="G67" s="243" t="s">
        <v>1324</v>
      </c>
      <c r="H67" s="243" t="s">
        <v>1228</v>
      </c>
      <c r="I67" s="240" t="s">
        <v>2227</v>
      </c>
      <c r="O67" s="7" t="str">
        <f>IF('gevaarljike stoffen'!$O$17&lt;&gt;0,#REF!,'H phrases'!B67)</f>
        <v>H373</v>
      </c>
    </row>
    <row r="68" spans="2:15" ht="15" customHeight="1" x14ac:dyDescent="0.25">
      <c r="B68" s="82" t="s">
        <v>125</v>
      </c>
      <c r="C68" s="243" t="s">
        <v>367</v>
      </c>
      <c r="D68" s="243" t="s">
        <v>921</v>
      </c>
      <c r="E68" s="243" t="s">
        <v>1019</v>
      </c>
      <c r="F68" s="243" t="s">
        <v>1112</v>
      </c>
      <c r="G68" s="243" t="s">
        <v>1309</v>
      </c>
      <c r="H68" s="243" t="s">
        <v>1213</v>
      </c>
      <c r="I68" s="240" t="s">
        <v>2212</v>
      </c>
      <c r="O68" s="7" t="str">
        <f>IF('gevaarljike stoffen'!$O$17&lt;&gt;0,#REF!,'H phrases'!B68)</f>
        <v>H400</v>
      </c>
    </row>
    <row r="69" spans="2:15" ht="15" customHeight="1" x14ac:dyDescent="0.25">
      <c r="B69" s="82" t="s">
        <v>128</v>
      </c>
      <c r="C69" s="243" t="s">
        <v>368</v>
      </c>
      <c r="D69" s="243" t="s">
        <v>922</v>
      </c>
      <c r="E69" s="243" t="s">
        <v>1020</v>
      </c>
      <c r="F69" s="243" t="s">
        <v>1113</v>
      </c>
      <c r="G69" s="243" t="s">
        <v>1310</v>
      </c>
      <c r="H69" s="243" t="s">
        <v>1214</v>
      </c>
      <c r="I69" s="240" t="s">
        <v>2213</v>
      </c>
      <c r="O69" s="7" t="str">
        <f>IF('gevaarljike stoffen'!$O$17&lt;&gt;0,#REF!,'H phrases'!B69)</f>
        <v>H410</v>
      </c>
    </row>
    <row r="70" spans="2:15" ht="15" customHeight="1" x14ac:dyDescent="0.25">
      <c r="B70" s="82" t="s">
        <v>129</v>
      </c>
      <c r="C70" s="243" t="s">
        <v>369</v>
      </c>
      <c r="D70" s="243" t="s">
        <v>923</v>
      </c>
      <c r="E70" s="243" t="s">
        <v>1021</v>
      </c>
      <c r="F70" s="243" t="s">
        <v>1114</v>
      </c>
      <c r="G70" s="243" t="s">
        <v>1311</v>
      </c>
      <c r="H70" s="243" t="s">
        <v>1215</v>
      </c>
      <c r="I70" s="240" t="s">
        <v>2214</v>
      </c>
      <c r="O70" s="7" t="str">
        <f>IF('gevaarljike stoffen'!$O$17&lt;&gt;0,#REF!,'H phrases'!B70)</f>
        <v>H411</v>
      </c>
    </row>
    <row r="71" spans="2:15" ht="15" customHeight="1" x14ac:dyDescent="0.25">
      <c r="B71" s="82" t="s">
        <v>130</v>
      </c>
      <c r="C71" s="243" t="s">
        <v>370</v>
      </c>
      <c r="D71" s="243" t="s">
        <v>924</v>
      </c>
      <c r="E71" s="243" t="s">
        <v>1022</v>
      </c>
      <c r="F71" s="245" t="s">
        <v>1115</v>
      </c>
      <c r="G71" s="243" t="s">
        <v>1312</v>
      </c>
      <c r="H71" s="243" t="s">
        <v>1216</v>
      </c>
      <c r="I71" s="240" t="s">
        <v>2215</v>
      </c>
      <c r="O71" s="7" t="str">
        <f>IF('gevaarljike stoffen'!$O$17&lt;&gt;0,#REF!,'H phrases'!B71)</f>
        <v>H412</v>
      </c>
    </row>
    <row r="72" spans="2:15" ht="15" customHeight="1" x14ac:dyDescent="0.25">
      <c r="B72" s="82" t="s">
        <v>131</v>
      </c>
      <c r="C72" s="243" t="s">
        <v>371</v>
      </c>
      <c r="D72" s="243" t="s">
        <v>925</v>
      </c>
      <c r="E72" s="243" t="s">
        <v>1023</v>
      </c>
      <c r="F72" s="245" t="s">
        <v>1116</v>
      </c>
      <c r="G72" s="243" t="s">
        <v>1313</v>
      </c>
      <c r="H72" s="243" t="s">
        <v>1217</v>
      </c>
      <c r="I72" s="240" t="s">
        <v>2216</v>
      </c>
      <c r="O72" s="7" t="str">
        <f>IF('gevaarljike stoffen'!$O$17&lt;&gt;0,#REF!,'H phrases'!B72)</f>
        <v>H413</v>
      </c>
    </row>
    <row r="73" spans="2:15" ht="15" customHeight="1" x14ac:dyDescent="0.25">
      <c r="B73" s="82" t="s">
        <v>276</v>
      </c>
      <c r="C73" s="243" t="s">
        <v>372</v>
      </c>
      <c r="D73" s="243" t="s">
        <v>926</v>
      </c>
      <c r="E73" s="243" t="s">
        <v>1024</v>
      </c>
      <c r="F73" s="243" t="s">
        <v>1117</v>
      </c>
      <c r="G73" s="243" t="s">
        <v>1314</v>
      </c>
      <c r="H73" s="243" t="s">
        <v>1218</v>
      </c>
      <c r="I73" s="240" t="s">
        <v>2217</v>
      </c>
      <c r="O73" s="7" t="str">
        <f>IF('gevaarljike stoffen'!$O$17&lt;&gt;0,#REF!,'H phrases'!B73)</f>
        <v>H420</v>
      </c>
    </row>
    <row r="74" spans="2:15" ht="15" customHeight="1" x14ac:dyDescent="0.25">
      <c r="B74" s="82" t="s">
        <v>602</v>
      </c>
      <c r="C74" s="243" t="s">
        <v>629</v>
      </c>
      <c r="D74" s="245" t="s">
        <v>841</v>
      </c>
      <c r="E74" s="245" t="s">
        <v>938</v>
      </c>
      <c r="F74" s="245" t="s">
        <v>1035</v>
      </c>
      <c r="G74" s="245" t="s">
        <v>1229</v>
      </c>
      <c r="H74" s="243" t="s">
        <v>1132</v>
      </c>
      <c r="I74" s="240" t="s">
        <v>2131</v>
      </c>
      <c r="O74" s="7" t="str">
        <f>IF('gevaarljike stoffen'!$O$17&lt;&gt;0,#REF!,'H phrases'!B74)</f>
        <v>EUH 001</v>
      </c>
    </row>
    <row r="75" spans="2:15" ht="15" customHeight="1" x14ac:dyDescent="0.25">
      <c r="B75" s="82" t="s">
        <v>603</v>
      </c>
      <c r="C75" s="243" t="s">
        <v>630</v>
      </c>
      <c r="D75" s="245" t="s">
        <v>842</v>
      </c>
      <c r="E75" s="245" t="s">
        <v>939</v>
      </c>
      <c r="F75" s="245" t="s">
        <v>1036</v>
      </c>
      <c r="G75" s="245" t="s">
        <v>1230</v>
      </c>
      <c r="H75" s="243" t="s">
        <v>1133</v>
      </c>
      <c r="I75" s="240" t="s">
        <v>2132</v>
      </c>
      <c r="O75" s="7" t="str">
        <f>IF('gevaarljike stoffen'!$O$17&lt;&gt;0,#REF!,'H phrases'!B75)</f>
        <v>EUH 006</v>
      </c>
    </row>
    <row r="76" spans="2:15" ht="15" customHeight="1" x14ac:dyDescent="0.25">
      <c r="B76" s="82" t="s">
        <v>604</v>
      </c>
      <c r="C76" s="243" t="s">
        <v>631</v>
      </c>
      <c r="D76" s="243" t="s">
        <v>843</v>
      </c>
      <c r="E76" s="243" t="s">
        <v>940</v>
      </c>
      <c r="F76" s="243" t="s">
        <v>1037</v>
      </c>
      <c r="G76" s="243" t="s">
        <v>1231</v>
      </c>
      <c r="H76" s="243" t="s">
        <v>1134</v>
      </c>
      <c r="I76" s="240" t="s">
        <v>2133</v>
      </c>
      <c r="O76" s="7" t="str">
        <f>IF('gevaarljike stoffen'!$O$17&lt;&gt;0,#REF!,'H phrases'!B76)</f>
        <v>EUH 014</v>
      </c>
    </row>
    <row r="77" spans="2:15" ht="15" customHeight="1" x14ac:dyDescent="0.25">
      <c r="B77" s="82" t="s">
        <v>605</v>
      </c>
      <c r="C77" s="243" t="s">
        <v>632</v>
      </c>
      <c r="D77" s="243" t="s">
        <v>844</v>
      </c>
      <c r="E77" s="243" t="s">
        <v>941</v>
      </c>
      <c r="F77" s="245" t="s">
        <v>1038</v>
      </c>
      <c r="G77" s="243" t="s">
        <v>1232</v>
      </c>
      <c r="H77" s="243" t="s">
        <v>1135</v>
      </c>
      <c r="I77" s="240" t="s">
        <v>2134</v>
      </c>
      <c r="O77" s="7" t="str">
        <f>IF('gevaarljike stoffen'!$O$17&lt;&gt;0,#REF!,'H phrases'!B77)</f>
        <v>EUH 018</v>
      </c>
    </row>
    <row r="78" spans="2:15" ht="15" customHeight="1" x14ac:dyDescent="0.25">
      <c r="B78" s="82" t="s">
        <v>606</v>
      </c>
      <c r="C78" s="243" t="s">
        <v>633</v>
      </c>
      <c r="D78" s="243" t="s">
        <v>845</v>
      </c>
      <c r="E78" s="243" t="s">
        <v>942</v>
      </c>
      <c r="F78" s="243" t="s">
        <v>1039</v>
      </c>
      <c r="G78" s="243" t="s">
        <v>1233</v>
      </c>
      <c r="H78" s="243" t="s">
        <v>1136</v>
      </c>
      <c r="I78" s="240" t="s">
        <v>2135</v>
      </c>
      <c r="O78" s="7" t="str">
        <f>IF('gevaarljike stoffen'!$O$17&lt;&gt;0,#REF!,'H phrases'!B78)</f>
        <v>EUH 019</v>
      </c>
    </row>
    <row r="79" spans="2:15" ht="15" customHeight="1" x14ac:dyDescent="0.25">
      <c r="B79" s="82" t="s">
        <v>607</v>
      </c>
      <c r="C79" s="243" t="s">
        <v>634</v>
      </c>
      <c r="D79" s="243" t="s">
        <v>846</v>
      </c>
      <c r="E79" s="243" t="s">
        <v>943</v>
      </c>
      <c r="F79" s="245" t="s">
        <v>1040</v>
      </c>
      <c r="G79" s="243" t="s">
        <v>1234</v>
      </c>
      <c r="H79" s="243" t="s">
        <v>1137</v>
      </c>
      <c r="I79" s="240" t="s">
        <v>2136</v>
      </c>
      <c r="O79" s="7" t="str">
        <f>IF('gevaarljike stoffen'!$O$17&lt;&gt;0,#REF!,'H phrases'!B79)</f>
        <v>EUH 029</v>
      </c>
    </row>
    <row r="80" spans="2:15" ht="15" customHeight="1" x14ac:dyDescent="0.25">
      <c r="B80" s="82" t="s">
        <v>608</v>
      </c>
      <c r="C80" s="243" t="s">
        <v>635</v>
      </c>
      <c r="D80" s="243" t="s">
        <v>847</v>
      </c>
      <c r="E80" s="243" t="s">
        <v>944</v>
      </c>
      <c r="F80" s="245" t="s">
        <v>1041</v>
      </c>
      <c r="G80" s="243" t="s">
        <v>1235</v>
      </c>
      <c r="H80" s="243" t="s">
        <v>1138</v>
      </c>
      <c r="I80" s="240" t="s">
        <v>2137</v>
      </c>
      <c r="O80" s="7" t="str">
        <f>IF('gevaarljike stoffen'!$O$17&lt;&gt;0,#REF!,'H phrases'!B80)</f>
        <v>EUH 031</v>
      </c>
    </row>
    <row r="81" spans="2:15" ht="15" customHeight="1" x14ac:dyDescent="0.25">
      <c r="B81" s="82" t="s">
        <v>609</v>
      </c>
      <c r="C81" s="243" t="s">
        <v>636</v>
      </c>
      <c r="D81" s="243" t="s">
        <v>848</v>
      </c>
      <c r="E81" s="243" t="s">
        <v>945</v>
      </c>
      <c r="F81" s="245" t="s">
        <v>1042</v>
      </c>
      <c r="G81" s="243" t="s">
        <v>1236</v>
      </c>
      <c r="H81" s="243" t="s">
        <v>1139</v>
      </c>
      <c r="I81" s="240" t="s">
        <v>2138</v>
      </c>
      <c r="O81" s="7" t="str">
        <f>IF('gevaarljike stoffen'!$O$17&lt;&gt;0,#REF!,'H phrases'!B81)</f>
        <v>EUH 032</v>
      </c>
    </row>
    <row r="82" spans="2:15" ht="15" customHeight="1" x14ac:dyDescent="0.25">
      <c r="B82" s="82" t="s">
        <v>610</v>
      </c>
      <c r="C82" s="243" t="s">
        <v>637</v>
      </c>
      <c r="D82" s="243" t="s">
        <v>849</v>
      </c>
      <c r="E82" s="243" t="s">
        <v>946</v>
      </c>
      <c r="F82" s="243" t="s">
        <v>1043</v>
      </c>
      <c r="G82" s="243" t="s">
        <v>1237</v>
      </c>
      <c r="H82" s="243" t="s">
        <v>1140</v>
      </c>
      <c r="I82" s="240" t="s">
        <v>2139</v>
      </c>
      <c r="O82" s="7" t="str">
        <f>IF('gevaarljike stoffen'!$O$17&lt;&gt;0,#REF!,'H phrases'!B82)</f>
        <v>EUH 044</v>
      </c>
    </row>
    <row r="83" spans="2:15" ht="15" customHeight="1" x14ac:dyDescent="0.25">
      <c r="B83" s="82" t="s">
        <v>611</v>
      </c>
      <c r="C83" s="243" t="s">
        <v>638</v>
      </c>
      <c r="D83" s="243" t="s">
        <v>850</v>
      </c>
      <c r="E83" s="243" t="s">
        <v>947</v>
      </c>
      <c r="F83" s="243" t="s">
        <v>1044</v>
      </c>
      <c r="G83" s="243" t="s">
        <v>1238</v>
      </c>
      <c r="H83" s="243" t="s">
        <v>1141</v>
      </c>
      <c r="I83" s="240" t="s">
        <v>2140</v>
      </c>
      <c r="O83" s="7" t="str">
        <f>IF('gevaarljike stoffen'!$O$17&lt;&gt;0,#REF!,'H phrases'!B83)</f>
        <v>EUH 066</v>
      </c>
    </row>
    <row r="84" spans="2:15" ht="15" customHeight="1" x14ac:dyDescent="0.25">
      <c r="B84" s="82" t="s">
        <v>612</v>
      </c>
      <c r="C84" s="243" t="s">
        <v>639</v>
      </c>
      <c r="D84" s="243" t="s">
        <v>851</v>
      </c>
      <c r="E84" s="243" t="s">
        <v>948</v>
      </c>
      <c r="F84" s="243" t="s">
        <v>1045</v>
      </c>
      <c r="G84" s="243" t="s">
        <v>1239</v>
      </c>
      <c r="H84" s="243" t="s">
        <v>1142</v>
      </c>
      <c r="I84" s="240" t="s">
        <v>2141</v>
      </c>
      <c r="O84" s="7" t="str">
        <f>IF('gevaarljike stoffen'!$O$17&lt;&gt;0,#REF!,'H phrases'!B84)</f>
        <v>EUH 070</v>
      </c>
    </row>
    <row r="85" spans="2:15" ht="15" customHeight="1" x14ac:dyDescent="0.25">
      <c r="B85" s="82" t="s">
        <v>613</v>
      </c>
      <c r="C85" s="243" t="s">
        <v>640</v>
      </c>
      <c r="D85" s="243" t="s">
        <v>852</v>
      </c>
      <c r="E85" s="243" t="s">
        <v>949</v>
      </c>
      <c r="F85" s="243" t="s">
        <v>1046</v>
      </c>
      <c r="G85" s="243" t="s">
        <v>1240</v>
      </c>
      <c r="H85" s="243" t="s">
        <v>1143</v>
      </c>
      <c r="I85" s="240" t="s">
        <v>2142</v>
      </c>
      <c r="O85" s="7" t="str">
        <f>IF('gevaarljike stoffen'!$O$17&lt;&gt;0,#REF!,'H phrases'!B85)</f>
        <v>EUH 071</v>
      </c>
    </row>
    <row r="86" spans="2:15" ht="15" customHeight="1" x14ac:dyDescent="0.25">
      <c r="B86" s="82" t="s">
        <v>614</v>
      </c>
      <c r="C86" s="243" t="s">
        <v>641</v>
      </c>
      <c r="D86" s="243" t="s">
        <v>853</v>
      </c>
      <c r="E86" s="243" t="s">
        <v>950</v>
      </c>
      <c r="F86" s="245" t="s">
        <v>1047</v>
      </c>
      <c r="G86" s="243" t="s">
        <v>1241</v>
      </c>
      <c r="H86" s="243" t="s">
        <v>1144</v>
      </c>
      <c r="I86" s="240" t="s">
        <v>2143</v>
      </c>
      <c r="O86" s="7" t="str">
        <f>IF('gevaarljike stoffen'!$O$17&lt;&gt;0,#REF!,'H phrases'!B86)</f>
        <v>EUH 201</v>
      </c>
    </row>
    <row r="87" spans="2:15" ht="15" customHeight="1" x14ac:dyDescent="0.25">
      <c r="B87" s="82" t="s">
        <v>615</v>
      </c>
      <c r="C87" s="243" t="s">
        <v>642</v>
      </c>
      <c r="D87" s="243" t="s">
        <v>854</v>
      </c>
      <c r="E87" s="243" t="s">
        <v>951</v>
      </c>
      <c r="F87" s="243" t="s">
        <v>1048</v>
      </c>
      <c r="G87" s="243" t="s">
        <v>1242</v>
      </c>
      <c r="H87" s="243" t="s">
        <v>1145</v>
      </c>
      <c r="I87" s="240" t="s">
        <v>2144</v>
      </c>
      <c r="O87" s="7" t="str">
        <f>IF('gevaarljike stoffen'!$O$17&lt;&gt;0,#REF!,'H phrases'!B87)</f>
        <v>EUH 201A</v>
      </c>
    </row>
    <row r="88" spans="2:15" ht="15" customHeight="1" x14ac:dyDescent="0.25">
      <c r="B88" s="82" t="s">
        <v>616</v>
      </c>
      <c r="C88" s="243" t="s">
        <v>643</v>
      </c>
      <c r="D88" s="243" t="s">
        <v>855</v>
      </c>
      <c r="E88" s="243" t="s">
        <v>952</v>
      </c>
      <c r="F88" s="245" t="s">
        <v>1049</v>
      </c>
      <c r="G88" s="243" t="s">
        <v>1243</v>
      </c>
      <c r="H88" s="243" t="s">
        <v>1146</v>
      </c>
      <c r="I88" s="240" t="s">
        <v>2145</v>
      </c>
      <c r="O88" s="7" t="str">
        <f>IF('gevaarljike stoffen'!$O$17&lt;&gt;0,#REF!,'H phrases'!B88)</f>
        <v>EUH 202</v>
      </c>
    </row>
    <row r="89" spans="2:15" ht="15" customHeight="1" x14ac:dyDescent="0.25">
      <c r="B89" s="82" t="s">
        <v>617</v>
      </c>
      <c r="C89" s="243" t="s">
        <v>644</v>
      </c>
      <c r="D89" s="243" t="s">
        <v>856</v>
      </c>
      <c r="E89" s="243" t="s">
        <v>953</v>
      </c>
      <c r="F89" s="243" t="s">
        <v>1050</v>
      </c>
      <c r="G89" s="243" t="s">
        <v>1244</v>
      </c>
      <c r="H89" s="243" t="s">
        <v>1147</v>
      </c>
      <c r="I89" s="240" t="s">
        <v>2146</v>
      </c>
      <c r="O89" s="7" t="str">
        <f>IF('gevaarljike stoffen'!$O$17&lt;&gt;0,#REF!,'H phrases'!B89)</f>
        <v>EUH 203</v>
      </c>
    </row>
    <row r="90" spans="2:15" ht="15" customHeight="1" x14ac:dyDescent="0.25">
      <c r="B90" s="82" t="s">
        <v>618</v>
      </c>
      <c r="C90" s="243" t="s">
        <v>666</v>
      </c>
      <c r="D90" s="243" t="s">
        <v>937</v>
      </c>
      <c r="E90" s="243" t="s">
        <v>962</v>
      </c>
      <c r="F90" s="243" t="s">
        <v>1059</v>
      </c>
      <c r="G90" s="243" t="s">
        <v>1325</v>
      </c>
      <c r="H90" s="243" t="s">
        <v>1156</v>
      </c>
      <c r="I90" s="240" t="s">
        <v>2155</v>
      </c>
      <c r="O90" s="7" t="str">
        <f>IF('gevaarljike stoffen'!$O$17&lt;&gt;0,#REF!,'H phrases'!B90)</f>
        <v>EUH 204</v>
      </c>
    </row>
    <row r="91" spans="2:15" ht="15" customHeight="1" x14ac:dyDescent="0.25">
      <c r="B91" s="82" t="s">
        <v>619</v>
      </c>
      <c r="C91" s="243" t="s">
        <v>667</v>
      </c>
      <c r="D91" s="243" t="s">
        <v>857</v>
      </c>
      <c r="E91" s="243" t="s">
        <v>954</v>
      </c>
      <c r="F91" s="243" t="s">
        <v>1051</v>
      </c>
      <c r="G91" s="243" t="s">
        <v>1245</v>
      </c>
      <c r="H91" s="243" t="s">
        <v>1148</v>
      </c>
      <c r="I91" s="240" t="s">
        <v>2147</v>
      </c>
      <c r="O91" s="7" t="str">
        <f>IF('gevaarljike stoffen'!$O$17&lt;&gt;0,#REF!,'H phrases'!B91)</f>
        <v>EUH 205</v>
      </c>
    </row>
    <row r="92" spans="2:15" ht="15" customHeight="1" x14ac:dyDescent="0.25">
      <c r="B92" s="82" t="s">
        <v>620</v>
      </c>
      <c r="C92" s="243" t="s">
        <v>645</v>
      </c>
      <c r="D92" s="243" t="s">
        <v>858</v>
      </c>
      <c r="E92" s="243" t="s">
        <v>955</v>
      </c>
      <c r="F92" s="245" t="s">
        <v>1052</v>
      </c>
      <c r="G92" s="243" t="s">
        <v>1246</v>
      </c>
      <c r="H92" s="243" t="s">
        <v>1149</v>
      </c>
      <c r="I92" s="240" t="s">
        <v>2148</v>
      </c>
      <c r="O92" s="7" t="str">
        <f>IF('gevaarljike stoffen'!$O$17&lt;&gt;0,#REF!,'H phrases'!B92)</f>
        <v>EUH 206</v>
      </c>
    </row>
    <row r="93" spans="2:15" ht="15" customHeight="1" x14ac:dyDescent="0.25">
      <c r="B93" s="82" t="s">
        <v>621</v>
      </c>
      <c r="C93" s="243" t="s">
        <v>646</v>
      </c>
      <c r="D93" s="243" t="s">
        <v>859</v>
      </c>
      <c r="E93" s="243" t="s">
        <v>956</v>
      </c>
      <c r="F93" s="245" t="s">
        <v>1053</v>
      </c>
      <c r="G93" s="243" t="s">
        <v>1247</v>
      </c>
      <c r="H93" s="243" t="s">
        <v>1150</v>
      </c>
      <c r="I93" s="240" t="s">
        <v>2149</v>
      </c>
      <c r="O93" s="7" t="str">
        <f>IF('gevaarljike stoffen'!$O$17&lt;&gt;0,#REF!,'H phrases'!B93)</f>
        <v>EUH 207</v>
      </c>
    </row>
    <row r="94" spans="2:15" ht="15" customHeight="1" x14ac:dyDescent="0.25">
      <c r="B94" s="82" t="s">
        <v>622</v>
      </c>
      <c r="C94" s="243" t="s">
        <v>647</v>
      </c>
      <c r="D94" s="243" t="s">
        <v>860</v>
      </c>
      <c r="E94" s="243" t="s">
        <v>957</v>
      </c>
      <c r="F94" s="243" t="s">
        <v>1054</v>
      </c>
      <c r="G94" s="243" t="s">
        <v>1248</v>
      </c>
      <c r="H94" s="243" t="s">
        <v>1151</v>
      </c>
      <c r="I94" s="240" t="s">
        <v>2150</v>
      </c>
      <c r="O94" s="7" t="str">
        <f>IF('gevaarljike stoffen'!$O$17&lt;&gt;0,#REF!,'H phrases'!B94)</f>
        <v>EUH 208</v>
      </c>
    </row>
    <row r="95" spans="2:15" ht="15" customHeight="1" x14ac:dyDescent="0.25">
      <c r="B95" s="82" t="s">
        <v>623</v>
      </c>
      <c r="C95" s="243" t="s">
        <v>648</v>
      </c>
      <c r="D95" s="243" t="s">
        <v>861</v>
      </c>
      <c r="E95" s="243" t="s">
        <v>958</v>
      </c>
      <c r="F95" s="243" t="s">
        <v>1055</v>
      </c>
      <c r="G95" s="243" t="s">
        <v>1249</v>
      </c>
      <c r="H95" s="243" t="s">
        <v>1152</v>
      </c>
      <c r="I95" s="240" t="s">
        <v>2151</v>
      </c>
      <c r="O95" s="7" t="str">
        <f>IF('gevaarljike stoffen'!$O$17&lt;&gt;0,#REF!,'H phrases'!B95)</f>
        <v>EUH 209</v>
      </c>
    </row>
    <row r="96" spans="2:15" ht="15" customHeight="1" x14ac:dyDescent="0.25">
      <c r="B96" s="82" t="s">
        <v>624</v>
      </c>
      <c r="C96" s="243" t="s">
        <v>649</v>
      </c>
      <c r="D96" s="243" t="s">
        <v>862</v>
      </c>
      <c r="E96" s="243" t="s">
        <v>959</v>
      </c>
      <c r="F96" s="243" t="s">
        <v>1056</v>
      </c>
      <c r="G96" s="243" t="s">
        <v>1250</v>
      </c>
      <c r="H96" s="243" t="s">
        <v>1153</v>
      </c>
      <c r="I96" s="240" t="s">
        <v>2152</v>
      </c>
      <c r="O96" s="7" t="str">
        <f>IF('gevaarljike stoffen'!$O$17&lt;&gt;0,#REF!,'H phrases'!B96)</f>
        <v>EUH 209A</v>
      </c>
    </row>
    <row r="97" spans="2:15" ht="15" customHeight="1" x14ac:dyDescent="0.25">
      <c r="B97" s="82" t="s">
        <v>625</v>
      </c>
      <c r="C97" s="243" t="s">
        <v>650</v>
      </c>
      <c r="D97" s="243" t="s">
        <v>863</v>
      </c>
      <c r="E97" s="243" t="s">
        <v>960</v>
      </c>
      <c r="F97" s="243" t="s">
        <v>1057</v>
      </c>
      <c r="G97" s="243" t="s">
        <v>1251</v>
      </c>
      <c r="H97" s="243" t="s">
        <v>1154</v>
      </c>
      <c r="I97" s="240" t="s">
        <v>2153</v>
      </c>
      <c r="O97" s="7" t="str">
        <f>IF('gevaarljike stoffen'!$O$17&lt;&gt;0,#REF!,'H phrases'!B97)</f>
        <v>EUH 210</v>
      </c>
    </row>
    <row r="98" spans="2:15" ht="15" customHeight="1" x14ac:dyDescent="0.25">
      <c r="B98" s="82" t="s">
        <v>626</v>
      </c>
      <c r="C98" s="243" t="s">
        <v>651</v>
      </c>
      <c r="D98" s="243" t="s">
        <v>864</v>
      </c>
      <c r="E98" s="243" t="s">
        <v>961</v>
      </c>
      <c r="F98" s="245" t="s">
        <v>1058</v>
      </c>
      <c r="G98" s="243" t="s">
        <v>1252</v>
      </c>
      <c r="H98" s="243" t="s">
        <v>1155</v>
      </c>
      <c r="I98" s="240" t="s">
        <v>2154</v>
      </c>
      <c r="O98" s="7" t="str">
        <f>IF('gevaarljike stoffen'!$O$17&lt;&gt;0,#REF!,'H phrases'!B98)</f>
        <v>EUH 401</v>
      </c>
    </row>
    <row r="113" spans="5:6" x14ac:dyDescent="0.25">
      <c r="E113" s="7" t="s">
        <v>271</v>
      </c>
      <c r="F113" s="7" t="s">
        <v>718</v>
      </c>
    </row>
    <row r="114" spans="5:6" x14ac:dyDescent="0.25">
      <c r="E114" s="7" t="s">
        <v>703</v>
      </c>
      <c r="F114" s="7" t="s">
        <v>712</v>
      </c>
    </row>
    <row r="115" spans="5:6" x14ac:dyDescent="0.25">
      <c r="E115" s="7" t="s">
        <v>701</v>
      </c>
      <c r="F115" s="7" t="s">
        <v>713</v>
      </c>
    </row>
    <row r="116" spans="5:6" x14ac:dyDescent="0.25">
      <c r="E116" s="7" t="s">
        <v>704</v>
      </c>
      <c r="F116" s="7" t="s">
        <v>705</v>
      </c>
    </row>
    <row r="117" spans="5:6" x14ac:dyDescent="0.25">
      <c r="E117" s="7" t="s">
        <v>714</v>
      </c>
      <c r="F117" s="7" t="s">
        <v>715</v>
      </c>
    </row>
    <row r="118" spans="5:6" x14ac:dyDescent="0.25">
      <c r="E118" s="7" t="s">
        <v>702</v>
      </c>
      <c r="F118" s="7" t="s">
        <v>716</v>
      </c>
    </row>
    <row r="119" spans="5:6" x14ac:dyDescent="0.25">
      <c r="E119" s="7" t="s">
        <v>272</v>
      </c>
      <c r="F119" s="7" t="s">
        <v>719</v>
      </c>
    </row>
    <row r="120" spans="5:6" x14ac:dyDescent="0.25">
      <c r="E120" s="7" t="s">
        <v>708</v>
      </c>
      <c r="F120" s="7" t="s">
        <v>709</v>
      </c>
    </row>
    <row r="121" spans="5:6" x14ac:dyDescent="0.25">
      <c r="E121" s="7" t="s">
        <v>706</v>
      </c>
      <c r="F121" s="7" t="s">
        <v>707</v>
      </c>
    </row>
    <row r="122" spans="5:6" x14ac:dyDescent="0.25">
      <c r="E122" s="7" t="s">
        <v>710</v>
      </c>
      <c r="F122" s="7" t="s">
        <v>717</v>
      </c>
    </row>
  </sheetData>
  <conditionalFormatting sqref="O2:O98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137"/>
  <sheetViews>
    <sheetView topLeftCell="A101" workbookViewId="0">
      <selection activeCell="E116" sqref="E116"/>
    </sheetView>
  </sheetViews>
  <sheetFormatPr defaultRowHeight="15" x14ac:dyDescent="0.25"/>
  <cols>
    <col min="1" max="1" width="9.140625" style="83"/>
    <col min="2" max="2" width="10.85546875" style="83" customWidth="1"/>
    <col min="3" max="3" width="11.42578125" style="249" customWidth="1"/>
    <col min="4" max="5" width="11.42578125" customWidth="1"/>
    <col min="6" max="7" width="11.42578125" style="157" customWidth="1"/>
    <col min="8" max="10" width="11.42578125" customWidth="1"/>
  </cols>
  <sheetData>
    <row r="1" spans="1:9" x14ac:dyDescent="0.25">
      <c r="C1" s="247" t="s">
        <v>1327</v>
      </c>
      <c r="D1" s="238" t="s">
        <v>1328</v>
      </c>
      <c r="E1" s="238" t="s">
        <v>1329</v>
      </c>
      <c r="F1" s="247" t="s">
        <v>1330</v>
      </c>
      <c r="G1" s="247" t="s">
        <v>1331</v>
      </c>
      <c r="H1" s="246" t="s">
        <v>1332</v>
      </c>
      <c r="I1" s="246" t="s">
        <v>1326</v>
      </c>
    </row>
    <row r="2" spans="1:9" ht="15" customHeight="1" x14ac:dyDescent="0.25">
      <c r="A2" s="247" t="s">
        <v>1327</v>
      </c>
      <c r="B2" s="252" t="s">
        <v>373</v>
      </c>
      <c r="C2" s="243" t="s">
        <v>374</v>
      </c>
      <c r="D2" s="240" t="s">
        <v>1333</v>
      </c>
      <c r="E2" s="240" t="s">
        <v>1466</v>
      </c>
      <c r="F2" s="240" t="s">
        <v>1599</v>
      </c>
      <c r="G2" s="240" t="s">
        <v>1732</v>
      </c>
      <c r="H2" s="240" t="s">
        <v>1865</v>
      </c>
      <c r="I2" s="240" t="s">
        <v>1998</v>
      </c>
    </row>
    <row r="3" spans="1:9" ht="15" customHeight="1" x14ac:dyDescent="0.25">
      <c r="A3" s="238" t="s">
        <v>1328</v>
      </c>
      <c r="B3" s="252" t="s">
        <v>375</v>
      </c>
      <c r="C3" s="243" t="s">
        <v>376</v>
      </c>
      <c r="D3" s="240" t="s">
        <v>1334</v>
      </c>
      <c r="E3" s="240" t="s">
        <v>1467</v>
      </c>
      <c r="F3" s="240" t="s">
        <v>1600</v>
      </c>
      <c r="G3" s="240" t="s">
        <v>1733</v>
      </c>
      <c r="H3" s="240" t="s">
        <v>1866</v>
      </c>
      <c r="I3" s="240" t="s">
        <v>1999</v>
      </c>
    </row>
    <row r="4" spans="1:9" ht="15" customHeight="1" x14ac:dyDescent="0.25">
      <c r="A4" s="238" t="s">
        <v>1329</v>
      </c>
      <c r="B4" s="252" t="s">
        <v>377</v>
      </c>
      <c r="C4" s="243" t="s">
        <v>378</v>
      </c>
      <c r="D4" s="240" t="s">
        <v>1335</v>
      </c>
      <c r="E4" s="240" t="s">
        <v>1468</v>
      </c>
      <c r="F4" s="240" t="s">
        <v>1601</v>
      </c>
      <c r="G4" s="240" t="s">
        <v>1734</v>
      </c>
      <c r="H4" s="240" t="s">
        <v>1867</v>
      </c>
      <c r="I4" s="240" t="s">
        <v>2000</v>
      </c>
    </row>
    <row r="5" spans="1:9" ht="15" customHeight="1" x14ac:dyDescent="0.25">
      <c r="A5" s="238" t="s">
        <v>1330</v>
      </c>
      <c r="B5" s="253" t="s">
        <v>0</v>
      </c>
      <c r="C5" s="243" t="s">
        <v>379</v>
      </c>
      <c r="D5" s="240" t="s">
        <v>1336</v>
      </c>
      <c r="E5" s="240" t="s">
        <v>1469</v>
      </c>
      <c r="F5" s="240" t="s">
        <v>1602</v>
      </c>
      <c r="G5" s="240" t="s">
        <v>1735</v>
      </c>
      <c r="H5" s="240" t="s">
        <v>1868</v>
      </c>
      <c r="I5" s="240" t="s">
        <v>2001</v>
      </c>
    </row>
    <row r="6" spans="1:9" ht="15" customHeight="1" x14ac:dyDescent="0.25">
      <c r="A6" s="247" t="s">
        <v>1331</v>
      </c>
      <c r="B6" s="253" t="s">
        <v>1</v>
      </c>
      <c r="C6" s="243" t="s">
        <v>380</v>
      </c>
      <c r="D6" s="240" t="s">
        <v>1337</v>
      </c>
      <c r="E6" s="240" t="s">
        <v>1470</v>
      </c>
      <c r="F6" s="240" t="s">
        <v>1603</v>
      </c>
      <c r="G6" s="240" t="s">
        <v>1736</v>
      </c>
      <c r="H6" s="240" t="s">
        <v>1869</v>
      </c>
      <c r="I6" s="240" t="s">
        <v>2002</v>
      </c>
    </row>
    <row r="7" spans="1:9" ht="15" customHeight="1" x14ac:dyDescent="0.25">
      <c r="A7" s="246" t="s">
        <v>1332</v>
      </c>
      <c r="B7" s="82" t="s">
        <v>4</v>
      </c>
      <c r="C7" s="243" t="s">
        <v>381</v>
      </c>
      <c r="D7" s="240" t="s">
        <v>1338</v>
      </c>
      <c r="E7" s="240" t="s">
        <v>1471</v>
      </c>
      <c r="F7" s="240" t="s">
        <v>1604</v>
      </c>
      <c r="G7" s="240" t="s">
        <v>1737</v>
      </c>
      <c r="H7" s="240" t="s">
        <v>1870</v>
      </c>
      <c r="I7" s="240" t="s">
        <v>2003</v>
      </c>
    </row>
    <row r="8" spans="1:9" ht="15" customHeight="1" x14ac:dyDescent="0.25">
      <c r="A8" s="246" t="s">
        <v>1326</v>
      </c>
      <c r="B8" s="82" t="s">
        <v>11</v>
      </c>
      <c r="C8" s="243" t="s">
        <v>382</v>
      </c>
      <c r="D8" s="240" t="s">
        <v>1339</v>
      </c>
      <c r="E8" s="240" t="s">
        <v>1472</v>
      </c>
      <c r="F8" s="240" t="s">
        <v>1605</v>
      </c>
      <c r="G8" s="240" t="s">
        <v>1738</v>
      </c>
      <c r="H8" s="240" t="s">
        <v>1871</v>
      </c>
      <c r="I8" s="240" t="s">
        <v>2004</v>
      </c>
    </row>
    <row r="9" spans="1:9" ht="15" customHeight="1" x14ac:dyDescent="0.25">
      <c r="B9" s="82" t="s">
        <v>16</v>
      </c>
      <c r="C9" s="243" t="s">
        <v>383</v>
      </c>
      <c r="D9" s="240" t="s">
        <v>1340</v>
      </c>
      <c r="E9" s="240" t="s">
        <v>1473</v>
      </c>
      <c r="F9" s="240" t="s">
        <v>1606</v>
      </c>
      <c r="G9" s="240" t="s">
        <v>1739</v>
      </c>
      <c r="H9" s="240" t="s">
        <v>1872</v>
      </c>
      <c r="I9" s="240" t="s">
        <v>2005</v>
      </c>
    </row>
    <row r="10" spans="1:9" ht="15" customHeight="1" x14ac:dyDescent="0.25">
      <c r="B10" s="82" t="s">
        <v>59</v>
      </c>
      <c r="C10" s="243" t="s">
        <v>384</v>
      </c>
      <c r="D10" s="240" t="s">
        <v>1341</v>
      </c>
      <c r="E10" s="240" t="s">
        <v>1474</v>
      </c>
      <c r="F10" s="240" t="s">
        <v>1607</v>
      </c>
      <c r="G10" s="240" t="s">
        <v>1740</v>
      </c>
      <c r="H10" s="240" t="s">
        <v>1873</v>
      </c>
      <c r="I10" s="240" t="s">
        <v>2006</v>
      </c>
    </row>
    <row r="11" spans="1:9" ht="15" customHeight="1" x14ac:dyDescent="0.25">
      <c r="B11" s="82" t="s">
        <v>44</v>
      </c>
      <c r="C11" s="243" t="s">
        <v>385</v>
      </c>
      <c r="D11" s="240" t="s">
        <v>1342</v>
      </c>
      <c r="E11" s="240" t="s">
        <v>1475</v>
      </c>
      <c r="F11" s="240" t="s">
        <v>1608</v>
      </c>
      <c r="G11" s="240" t="s">
        <v>1741</v>
      </c>
      <c r="H11" s="240" t="s">
        <v>1874</v>
      </c>
      <c r="I11" s="240" t="s">
        <v>2007</v>
      </c>
    </row>
    <row r="12" spans="1:9" ht="15" customHeight="1" x14ac:dyDescent="0.25">
      <c r="B12" s="82" t="s">
        <v>54</v>
      </c>
      <c r="C12" s="243" t="s">
        <v>386</v>
      </c>
      <c r="D12" s="240" t="s">
        <v>1343</v>
      </c>
      <c r="E12" s="240" t="s">
        <v>1476</v>
      </c>
      <c r="F12" s="251" t="s">
        <v>1609</v>
      </c>
      <c r="G12" s="240" t="s">
        <v>1742</v>
      </c>
      <c r="H12" s="240" t="s">
        <v>1875</v>
      </c>
      <c r="I12" s="240" t="s">
        <v>2008</v>
      </c>
    </row>
    <row r="13" spans="1:9" ht="15" customHeight="1" x14ac:dyDescent="0.25">
      <c r="B13" s="82" t="s">
        <v>387</v>
      </c>
      <c r="C13" s="243" t="s">
        <v>388</v>
      </c>
      <c r="D13" s="240" t="s">
        <v>1344</v>
      </c>
      <c r="E13" s="240" t="s">
        <v>1477</v>
      </c>
      <c r="F13" s="240" t="s">
        <v>1610</v>
      </c>
      <c r="G13" s="240" t="s">
        <v>1743</v>
      </c>
      <c r="H13" s="240" t="s">
        <v>1876</v>
      </c>
      <c r="I13" s="240" t="s">
        <v>2009</v>
      </c>
    </row>
    <row r="14" spans="1:9" ht="15" customHeight="1" x14ac:dyDescent="0.25">
      <c r="B14" s="82" t="s">
        <v>313</v>
      </c>
      <c r="C14" s="243" t="s">
        <v>389</v>
      </c>
      <c r="D14" s="240" t="s">
        <v>1345</v>
      </c>
      <c r="E14" s="240" t="s">
        <v>1478</v>
      </c>
      <c r="F14" s="240" t="s">
        <v>1611</v>
      </c>
      <c r="G14" s="240" t="s">
        <v>1744</v>
      </c>
      <c r="H14" s="240" t="s">
        <v>1877</v>
      </c>
      <c r="I14" s="240" t="s">
        <v>2010</v>
      </c>
    </row>
    <row r="15" spans="1:9" ht="15" customHeight="1" x14ac:dyDescent="0.25">
      <c r="B15" s="82" t="s">
        <v>55</v>
      </c>
      <c r="C15" s="243" t="s">
        <v>390</v>
      </c>
      <c r="D15" s="240" t="s">
        <v>1346</v>
      </c>
      <c r="E15" s="240" t="s">
        <v>1479</v>
      </c>
      <c r="F15" s="240" t="s">
        <v>1612</v>
      </c>
      <c r="G15" s="240" t="s">
        <v>1745</v>
      </c>
      <c r="H15" s="240" t="s">
        <v>1878</v>
      </c>
      <c r="I15" s="240" t="s">
        <v>2011</v>
      </c>
    </row>
    <row r="16" spans="1:9" ht="15" customHeight="1" x14ac:dyDescent="0.25">
      <c r="B16" s="82" t="s">
        <v>391</v>
      </c>
      <c r="C16" s="243" t="s">
        <v>392</v>
      </c>
      <c r="D16" s="240" t="s">
        <v>1347</v>
      </c>
      <c r="E16" s="240" t="s">
        <v>1480</v>
      </c>
      <c r="F16" s="240" t="s">
        <v>1613</v>
      </c>
      <c r="G16" s="240" t="s">
        <v>1746</v>
      </c>
      <c r="H16" s="240" t="s">
        <v>1879</v>
      </c>
      <c r="I16" s="240" t="s">
        <v>2012</v>
      </c>
    </row>
    <row r="17" spans="2:9" ht="15" customHeight="1" x14ac:dyDescent="0.25">
      <c r="B17" s="82" t="s">
        <v>26</v>
      </c>
      <c r="C17" s="243" t="s">
        <v>393</v>
      </c>
      <c r="D17" s="240" t="s">
        <v>1348</v>
      </c>
      <c r="E17" s="240" t="s">
        <v>1481</v>
      </c>
      <c r="F17" s="240" t="s">
        <v>1614</v>
      </c>
      <c r="G17" s="240" t="s">
        <v>1747</v>
      </c>
      <c r="H17" s="240" t="s">
        <v>1880</v>
      </c>
      <c r="I17" s="240" t="s">
        <v>2013</v>
      </c>
    </row>
    <row r="18" spans="2:9" ht="15" customHeight="1" x14ac:dyDescent="0.25">
      <c r="B18" s="82" t="s">
        <v>37</v>
      </c>
      <c r="C18" s="243" t="s">
        <v>394</v>
      </c>
      <c r="D18" s="240" t="s">
        <v>1349</v>
      </c>
      <c r="E18" s="240" t="s">
        <v>1482</v>
      </c>
      <c r="F18" s="240" t="s">
        <v>1615</v>
      </c>
      <c r="G18" s="240" t="s">
        <v>1748</v>
      </c>
      <c r="H18" s="240" t="s">
        <v>1881</v>
      </c>
      <c r="I18" s="240" t="s">
        <v>2014</v>
      </c>
    </row>
    <row r="19" spans="2:9" ht="15" customHeight="1" x14ac:dyDescent="0.25">
      <c r="B19" s="82" t="s">
        <v>395</v>
      </c>
      <c r="C19" s="243" t="s">
        <v>396</v>
      </c>
      <c r="D19" s="240" t="s">
        <v>1350</v>
      </c>
      <c r="E19" s="240" t="s">
        <v>1483</v>
      </c>
      <c r="F19" s="240" t="s">
        <v>1616</v>
      </c>
      <c r="G19" s="240" t="s">
        <v>1749</v>
      </c>
      <c r="H19" s="240" t="s">
        <v>1882</v>
      </c>
      <c r="I19" s="240" t="s">
        <v>2015</v>
      </c>
    </row>
    <row r="20" spans="2:9" ht="15" customHeight="1" x14ac:dyDescent="0.25">
      <c r="B20" s="82" t="s">
        <v>49</v>
      </c>
      <c r="C20" s="243" t="s">
        <v>397</v>
      </c>
      <c r="D20" s="240" t="s">
        <v>1351</v>
      </c>
      <c r="E20" s="240" t="s">
        <v>1484</v>
      </c>
      <c r="F20" s="240" t="s">
        <v>1617</v>
      </c>
      <c r="G20" s="240" t="s">
        <v>1750</v>
      </c>
      <c r="H20" s="240" t="s">
        <v>1883</v>
      </c>
      <c r="I20" s="240" t="s">
        <v>2016</v>
      </c>
    </row>
    <row r="21" spans="2:9" ht="15" customHeight="1" x14ac:dyDescent="0.25">
      <c r="B21" s="82" t="s">
        <v>5</v>
      </c>
      <c r="C21" s="243" t="s">
        <v>398</v>
      </c>
      <c r="D21" s="240" t="s">
        <v>1352</v>
      </c>
      <c r="E21" s="240" t="s">
        <v>1485</v>
      </c>
      <c r="F21" s="240" t="s">
        <v>1618</v>
      </c>
      <c r="G21" s="240" t="s">
        <v>1751</v>
      </c>
      <c r="H21" s="240" t="s">
        <v>1884</v>
      </c>
      <c r="I21" s="240" t="s">
        <v>2017</v>
      </c>
    </row>
    <row r="22" spans="2:9" ht="15" customHeight="1" x14ac:dyDescent="0.25">
      <c r="B22" s="82" t="s">
        <v>27</v>
      </c>
      <c r="C22" s="243" t="s">
        <v>399</v>
      </c>
      <c r="D22" s="240" t="s">
        <v>1353</v>
      </c>
      <c r="E22" s="240" t="s">
        <v>1486</v>
      </c>
      <c r="F22" s="240" t="s">
        <v>1619</v>
      </c>
      <c r="G22" s="240" t="s">
        <v>1752</v>
      </c>
      <c r="H22" s="240" t="s">
        <v>1885</v>
      </c>
      <c r="I22" s="240" t="s">
        <v>2018</v>
      </c>
    </row>
    <row r="23" spans="2:9" ht="15" customHeight="1" x14ac:dyDescent="0.25">
      <c r="B23" s="82" t="s">
        <v>28</v>
      </c>
      <c r="C23" s="243" t="s">
        <v>400</v>
      </c>
      <c r="D23" s="240" t="s">
        <v>1354</v>
      </c>
      <c r="E23" s="240" t="s">
        <v>1487</v>
      </c>
      <c r="F23" s="240" t="s">
        <v>1620</v>
      </c>
      <c r="G23" s="240" t="s">
        <v>1753</v>
      </c>
      <c r="H23" s="240" t="s">
        <v>1886</v>
      </c>
      <c r="I23" s="240" t="s">
        <v>2019</v>
      </c>
    </row>
    <row r="24" spans="2:9" ht="15" customHeight="1" x14ac:dyDescent="0.25">
      <c r="B24" s="82" t="s">
        <v>29</v>
      </c>
      <c r="C24" s="243" t="s">
        <v>401</v>
      </c>
      <c r="D24" s="240" t="s">
        <v>1355</v>
      </c>
      <c r="E24" s="240" t="s">
        <v>1488</v>
      </c>
      <c r="F24" s="240" t="s">
        <v>1621</v>
      </c>
      <c r="G24" s="240" t="s">
        <v>1754</v>
      </c>
      <c r="H24" s="240" t="s">
        <v>1887</v>
      </c>
      <c r="I24" s="240" t="s">
        <v>2020</v>
      </c>
    </row>
    <row r="25" spans="2:9" ht="15" customHeight="1" x14ac:dyDescent="0.25">
      <c r="B25" s="82" t="s">
        <v>17</v>
      </c>
      <c r="C25" s="243" t="s">
        <v>402</v>
      </c>
      <c r="D25" s="240" t="s">
        <v>1356</v>
      </c>
      <c r="E25" s="240" t="s">
        <v>1489</v>
      </c>
      <c r="F25" s="240" t="s">
        <v>1622</v>
      </c>
      <c r="G25" s="240" t="s">
        <v>1755</v>
      </c>
      <c r="H25" s="240" t="s">
        <v>1888</v>
      </c>
      <c r="I25" s="240" t="s">
        <v>2021</v>
      </c>
    </row>
    <row r="26" spans="2:9" ht="15" customHeight="1" x14ac:dyDescent="0.25">
      <c r="B26" s="82" t="s">
        <v>403</v>
      </c>
      <c r="C26" s="243" t="s">
        <v>404</v>
      </c>
      <c r="D26" s="240" t="s">
        <v>1357</v>
      </c>
      <c r="E26" s="240" t="s">
        <v>1490</v>
      </c>
      <c r="F26" s="240" t="s">
        <v>1623</v>
      </c>
      <c r="G26" s="240" t="s">
        <v>1756</v>
      </c>
      <c r="H26" s="240" t="s">
        <v>1889</v>
      </c>
      <c r="I26" s="240" t="s">
        <v>2022</v>
      </c>
    </row>
    <row r="27" spans="2:9" ht="15" customHeight="1" x14ac:dyDescent="0.25">
      <c r="B27" s="82" t="s">
        <v>12</v>
      </c>
      <c r="C27" s="243" t="s">
        <v>405</v>
      </c>
      <c r="D27" s="240" t="s">
        <v>1358</v>
      </c>
      <c r="E27" s="240" t="s">
        <v>1491</v>
      </c>
      <c r="F27" s="240" t="s">
        <v>1624</v>
      </c>
      <c r="G27" s="240" t="s">
        <v>1757</v>
      </c>
      <c r="H27" s="240" t="s">
        <v>1890</v>
      </c>
      <c r="I27" s="240" t="s">
        <v>2023</v>
      </c>
    </row>
    <row r="28" spans="2:9" ht="15" customHeight="1" x14ac:dyDescent="0.25">
      <c r="B28" s="82" t="s">
        <v>90</v>
      </c>
      <c r="C28" s="243" t="s">
        <v>406</v>
      </c>
      <c r="D28" s="240" t="s">
        <v>1359</v>
      </c>
      <c r="E28" s="240" t="s">
        <v>1492</v>
      </c>
      <c r="F28" s="240" t="s">
        <v>1625</v>
      </c>
      <c r="G28" s="240" t="s">
        <v>1758</v>
      </c>
      <c r="H28" s="240" t="s">
        <v>1891</v>
      </c>
      <c r="I28" s="240" t="s">
        <v>2024</v>
      </c>
    </row>
    <row r="29" spans="2:9" ht="15" customHeight="1" x14ac:dyDescent="0.25">
      <c r="B29" s="82" t="s">
        <v>96</v>
      </c>
      <c r="C29" s="243" t="s">
        <v>407</v>
      </c>
      <c r="D29" s="240" t="s">
        <v>1360</v>
      </c>
      <c r="E29" s="240" t="s">
        <v>1493</v>
      </c>
      <c r="F29" s="240" t="s">
        <v>1626</v>
      </c>
      <c r="G29" s="240" t="s">
        <v>1759</v>
      </c>
      <c r="H29" s="240" t="s">
        <v>1892</v>
      </c>
      <c r="I29" s="240" t="s">
        <v>2025</v>
      </c>
    </row>
    <row r="30" spans="2:9" ht="15" customHeight="1" x14ac:dyDescent="0.25">
      <c r="B30" s="82" t="s">
        <v>80</v>
      </c>
      <c r="C30" s="243" t="s">
        <v>408</v>
      </c>
      <c r="D30" s="240" t="s">
        <v>1361</v>
      </c>
      <c r="E30" s="240" t="s">
        <v>1494</v>
      </c>
      <c r="F30" s="240" t="s">
        <v>1627</v>
      </c>
      <c r="G30" s="240" t="s">
        <v>1760</v>
      </c>
      <c r="H30" s="240" t="s">
        <v>1893</v>
      </c>
      <c r="I30" s="240" t="s">
        <v>2026</v>
      </c>
    </row>
    <row r="31" spans="2:9" ht="15" customHeight="1" x14ac:dyDescent="0.25">
      <c r="B31" s="82" t="s">
        <v>115</v>
      </c>
      <c r="C31" s="243" t="s">
        <v>409</v>
      </c>
      <c r="D31" s="240" t="s">
        <v>1362</v>
      </c>
      <c r="E31" s="240" t="s">
        <v>1495</v>
      </c>
      <c r="F31" s="240" t="s">
        <v>1628</v>
      </c>
      <c r="G31" s="240" t="s">
        <v>1761</v>
      </c>
      <c r="H31" s="240" t="s">
        <v>1894</v>
      </c>
      <c r="I31" s="240" t="s">
        <v>2027</v>
      </c>
    </row>
    <row r="32" spans="2:9" ht="15" customHeight="1" x14ac:dyDescent="0.25">
      <c r="B32" s="82" t="s">
        <v>70</v>
      </c>
      <c r="C32" s="243" t="s">
        <v>2230</v>
      </c>
      <c r="D32" s="240" t="s">
        <v>2231</v>
      </c>
      <c r="E32" s="240" t="s">
        <v>2232</v>
      </c>
      <c r="F32" s="240" t="s">
        <v>2233</v>
      </c>
      <c r="G32" s="240" t="s">
        <v>2234</v>
      </c>
      <c r="H32" s="240" t="s">
        <v>2235</v>
      </c>
      <c r="I32" s="240" t="s">
        <v>2236</v>
      </c>
    </row>
    <row r="33" spans="2:9" ht="15" customHeight="1" x14ac:dyDescent="0.25">
      <c r="B33" s="252" t="s">
        <v>71</v>
      </c>
      <c r="C33" s="243" t="s">
        <v>411</v>
      </c>
      <c r="D33" s="240" t="s">
        <v>1363</v>
      </c>
      <c r="E33" s="240" t="s">
        <v>1496</v>
      </c>
      <c r="F33" s="240" t="s">
        <v>1629</v>
      </c>
      <c r="G33" s="240" t="s">
        <v>1762</v>
      </c>
      <c r="H33" s="240" t="s">
        <v>1895</v>
      </c>
      <c r="I33" s="240" t="s">
        <v>2028</v>
      </c>
    </row>
    <row r="34" spans="2:9" ht="15" customHeight="1" x14ac:dyDescent="0.25">
      <c r="B34" s="252" t="s">
        <v>91</v>
      </c>
      <c r="C34" s="243" t="s">
        <v>412</v>
      </c>
      <c r="D34" s="240" t="s">
        <v>1364</v>
      </c>
      <c r="E34" s="240" t="s">
        <v>1497</v>
      </c>
      <c r="F34" s="240" t="s">
        <v>1630</v>
      </c>
      <c r="G34" s="240" t="s">
        <v>1763</v>
      </c>
      <c r="H34" s="240" t="s">
        <v>1896</v>
      </c>
      <c r="I34" s="240" t="s">
        <v>2029</v>
      </c>
    </row>
    <row r="35" spans="2:9" ht="15" customHeight="1" x14ac:dyDescent="0.25">
      <c r="B35" s="252" t="s">
        <v>109</v>
      </c>
      <c r="C35" s="243" t="s">
        <v>413</v>
      </c>
      <c r="D35" s="240" t="s">
        <v>1365</v>
      </c>
      <c r="E35" s="240" t="s">
        <v>1498</v>
      </c>
      <c r="F35" s="240" t="s">
        <v>1631</v>
      </c>
      <c r="G35" s="240" t="s">
        <v>1764</v>
      </c>
      <c r="H35" s="240" t="s">
        <v>1897</v>
      </c>
      <c r="I35" s="240" t="s">
        <v>2030</v>
      </c>
    </row>
    <row r="36" spans="2:9" ht="15" customHeight="1" x14ac:dyDescent="0.25">
      <c r="B36" s="253" t="s">
        <v>126</v>
      </c>
      <c r="C36" s="243" t="s">
        <v>414</v>
      </c>
      <c r="D36" s="240" t="s">
        <v>1366</v>
      </c>
      <c r="E36" s="240" t="s">
        <v>1499</v>
      </c>
      <c r="F36" s="240" t="s">
        <v>1632</v>
      </c>
      <c r="G36" s="240" t="s">
        <v>1765</v>
      </c>
      <c r="H36" s="240" t="s">
        <v>1898</v>
      </c>
      <c r="I36" s="240" t="s">
        <v>2031</v>
      </c>
    </row>
    <row r="37" spans="2:9" ht="15" customHeight="1" x14ac:dyDescent="0.25">
      <c r="B37" s="82" t="s">
        <v>6</v>
      </c>
      <c r="C37" s="243" t="s">
        <v>415</v>
      </c>
      <c r="D37" s="240" t="s">
        <v>1367</v>
      </c>
      <c r="E37" s="240" t="s">
        <v>1500</v>
      </c>
      <c r="F37" s="240" t="s">
        <v>1633</v>
      </c>
      <c r="G37" s="240" t="s">
        <v>1766</v>
      </c>
      <c r="H37" s="240" t="s">
        <v>1899</v>
      </c>
      <c r="I37" s="240" t="s">
        <v>2032</v>
      </c>
    </row>
    <row r="38" spans="2:9" ht="15" customHeight="1" x14ac:dyDescent="0.25">
      <c r="B38" s="82" t="s">
        <v>2</v>
      </c>
      <c r="C38" s="243" t="s">
        <v>416</v>
      </c>
      <c r="D38" s="240" t="s">
        <v>1368</v>
      </c>
      <c r="E38" s="240" t="s">
        <v>1501</v>
      </c>
      <c r="F38" s="240" t="s">
        <v>1634</v>
      </c>
      <c r="G38" s="240" t="s">
        <v>1767</v>
      </c>
      <c r="H38" s="240" t="s">
        <v>1900</v>
      </c>
      <c r="I38" s="240" t="s">
        <v>2033</v>
      </c>
    </row>
    <row r="39" spans="2:9" ht="15" customHeight="1" x14ac:dyDescent="0.25">
      <c r="B39" s="82" t="s">
        <v>22</v>
      </c>
      <c r="C39" s="243" t="s">
        <v>417</v>
      </c>
      <c r="D39" s="240" t="s">
        <v>1369</v>
      </c>
      <c r="E39" s="240" t="s">
        <v>1502</v>
      </c>
      <c r="F39" s="240" t="s">
        <v>1635</v>
      </c>
      <c r="G39" s="240" t="s">
        <v>1768</v>
      </c>
      <c r="H39" s="240" t="s">
        <v>1901</v>
      </c>
      <c r="I39" s="240" t="s">
        <v>2034</v>
      </c>
    </row>
    <row r="40" spans="2:9" ht="15" customHeight="1" x14ac:dyDescent="0.25">
      <c r="B40" s="82" t="s">
        <v>60</v>
      </c>
      <c r="C40" s="243" t="s">
        <v>418</v>
      </c>
      <c r="D40" s="240" t="s">
        <v>1370</v>
      </c>
      <c r="E40" s="240" t="s">
        <v>1503</v>
      </c>
      <c r="F40" s="240" t="s">
        <v>1636</v>
      </c>
      <c r="G40" s="240" t="s">
        <v>1769</v>
      </c>
      <c r="H40" s="240" t="s">
        <v>1902</v>
      </c>
      <c r="I40" s="240" t="s">
        <v>2035</v>
      </c>
    </row>
    <row r="41" spans="2:9" ht="15" customHeight="1" x14ac:dyDescent="0.25">
      <c r="B41" s="82" t="s">
        <v>92</v>
      </c>
      <c r="C41" s="243" t="s">
        <v>419</v>
      </c>
      <c r="D41" s="240" t="s">
        <v>1371</v>
      </c>
      <c r="E41" s="240" t="s">
        <v>1504</v>
      </c>
      <c r="F41" s="240" t="s">
        <v>1637</v>
      </c>
      <c r="G41" s="240" t="s">
        <v>1770</v>
      </c>
      <c r="H41" s="240" t="s">
        <v>1903</v>
      </c>
      <c r="I41" s="240" t="s">
        <v>2036</v>
      </c>
    </row>
    <row r="42" spans="2:9" ht="15" customHeight="1" x14ac:dyDescent="0.25">
      <c r="B42" s="82" t="s">
        <v>107</v>
      </c>
      <c r="C42" s="243" t="s">
        <v>420</v>
      </c>
      <c r="D42" s="240" t="s">
        <v>1372</v>
      </c>
      <c r="E42" s="240" t="s">
        <v>1505</v>
      </c>
      <c r="F42" s="240" t="s">
        <v>1638</v>
      </c>
      <c r="G42" s="240" t="s">
        <v>1771</v>
      </c>
      <c r="H42" s="240" t="s">
        <v>1904</v>
      </c>
      <c r="I42" s="240" t="s">
        <v>2037</v>
      </c>
    </row>
    <row r="43" spans="2:9" ht="15" customHeight="1" x14ac:dyDescent="0.25">
      <c r="B43" s="253" t="s">
        <v>421</v>
      </c>
      <c r="C43" s="243" t="s">
        <v>422</v>
      </c>
      <c r="D43" s="240" t="s">
        <v>1373</v>
      </c>
      <c r="E43" s="240" t="s">
        <v>1506</v>
      </c>
      <c r="F43" s="240" t="s">
        <v>1639</v>
      </c>
      <c r="G43" s="240" t="s">
        <v>1772</v>
      </c>
      <c r="H43" s="240" t="s">
        <v>1905</v>
      </c>
      <c r="I43" s="240" t="s">
        <v>2038</v>
      </c>
    </row>
    <row r="44" spans="2:9" ht="15" customHeight="1" x14ac:dyDescent="0.25">
      <c r="B44" s="82" t="s">
        <v>72</v>
      </c>
      <c r="C44" s="243" t="s">
        <v>423</v>
      </c>
      <c r="D44" s="240" t="s">
        <v>1374</v>
      </c>
      <c r="E44" s="240" t="s">
        <v>1507</v>
      </c>
      <c r="F44" s="240" t="s">
        <v>1640</v>
      </c>
      <c r="G44" s="240" t="s">
        <v>1773</v>
      </c>
      <c r="H44" s="240" t="s">
        <v>1906</v>
      </c>
      <c r="I44" s="240" t="s">
        <v>2039</v>
      </c>
    </row>
    <row r="45" spans="2:9" ht="15" customHeight="1" x14ac:dyDescent="0.25">
      <c r="B45" s="82" t="s">
        <v>78</v>
      </c>
      <c r="C45" s="243" t="s">
        <v>424</v>
      </c>
      <c r="D45" s="240" t="s">
        <v>1375</v>
      </c>
      <c r="E45" s="240" t="s">
        <v>1508</v>
      </c>
      <c r="F45" s="240" t="s">
        <v>1641</v>
      </c>
      <c r="G45" s="240" t="s">
        <v>1774</v>
      </c>
      <c r="H45" s="240" t="s">
        <v>1907</v>
      </c>
      <c r="I45" s="240" t="s">
        <v>2040</v>
      </c>
    </row>
    <row r="46" spans="2:9" ht="15" customHeight="1" x14ac:dyDescent="0.25">
      <c r="B46" s="82" t="s">
        <v>99</v>
      </c>
      <c r="C46" s="243" t="s">
        <v>425</v>
      </c>
      <c r="D46" s="240" t="s">
        <v>1376</v>
      </c>
      <c r="E46" s="240" t="s">
        <v>1509</v>
      </c>
      <c r="F46" s="240" t="s">
        <v>1642</v>
      </c>
      <c r="G46" s="240" t="s">
        <v>1775</v>
      </c>
      <c r="H46" s="240" t="s">
        <v>1908</v>
      </c>
      <c r="I46" s="240" t="s">
        <v>2041</v>
      </c>
    </row>
    <row r="47" spans="2:9" ht="15" customHeight="1" x14ac:dyDescent="0.25">
      <c r="B47" s="253" t="s">
        <v>426</v>
      </c>
      <c r="C47" s="243" t="s">
        <v>427</v>
      </c>
      <c r="D47" s="240" t="s">
        <v>1377</v>
      </c>
      <c r="E47" s="240" t="s">
        <v>1510</v>
      </c>
      <c r="F47" s="240" t="s">
        <v>1643</v>
      </c>
      <c r="G47" s="240" t="s">
        <v>1776</v>
      </c>
      <c r="H47" s="240" t="s">
        <v>1909</v>
      </c>
      <c r="I47" s="240" t="s">
        <v>2042</v>
      </c>
    </row>
    <row r="48" spans="2:9" ht="15" customHeight="1" x14ac:dyDescent="0.25">
      <c r="B48" s="82" t="s">
        <v>45</v>
      </c>
      <c r="C48" s="243" t="s">
        <v>428</v>
      </c>
      <c r="D48" s="240" t="s">
        <v>1378</v>
      </c>
      <c r="E48" s="240" t="s">
        <v>1511</v>
      </c>
      <c r="F48" s="240" t="s">
        <v>1644</v>
      </c>
      <c r="G48" s="240" t="s">
        <v>1777</v>
      </c>
      <c r="H48" s="240" t="s">
        <v>1910</v>
      </c>
      <c r="I48" s="240" t="s">
        <v>2043</v>
      </c>
    </row>
    <row r="49" spans="2:9" ht="15" customHeight="1" x14ac:dyDescent="0.25">
      <c r="B49" s="82" t="s">
        <v>81</v>
      </c>
      <c r="C49" s="243" t="s">
        <v>429</v>
      </c>
      <c r="D49" s="240" t="s">
        <v>1379</v>
      </c>
      <c r="E49" s="240" t="s">
        <v>1512</v>
      </c>
      <c r="F49" s="240" t="s">
        <v>1645</v>
      </c>
      <c r="G49" s="240" t="s">
        <v>1778</v>
      </c>
      <c r="H49" s="240" t="s">
        <v>1911</v>
      </c>
      <c r="I49" s="240" t="s">
        <v>2044</v>
      </c>
    </row>
    <row r="50" spans="2:9" ht="15" customHeight="1" x14ac:dyDescent="0.25">
      <c r="B50" s="82" t="s">
        <v>87</v>
      </c>
      <c r="C50" s="243" t="s">
        <v>430</v>
      </c>
      <c r="D50" s="240" t="s">
        <v>1380</v>
      </c>
      <c r="E50" s="240" t="s">
        <v>1513</v>
      </c>
      <c r="F50" s="240" t="s">
        <v>1646</v>
      </c>
      <c r="G50" s="240" t="s">
        <v>1779</v>
      </c>
      <c r="H50" s="240" t="s">
        <v>1912</v>
      </c>
      <c r="I50" s="240" t="s">
        <v>2045</v>
      </c>
    </row>
    <row r="51" spans="2:9" ht="15" customHeight="1" x14ac:dyDescent="0.25">
      <c r="B51" s="253" t="s">
        <v>431</v>
      </c>
      <c r="C51" s="243" t="s">
        <v>432</v>
      </c>
      <c r="D51" s="240" t="s">
        <v>1381</v>
      </c>
      <c r="E51" s="240" t="s">
        <v>1514</v>
      </c>
      <c r="F51" s="240" t="s">
        <v>1647</v>
      </c>
      <c r="G51" s="240" t="s">
        <v>1780</v>
      </c>
      <c r="H51" s="240" t="s">
        <v>1913</v>
      </c>
      <c r="I51" s="240" t="s">
        <v>2046</v>
      </c>
    </row>
    <row r="52" spans="2:9" ht="15" customHeight="1" x14ac:dyDescent="0.25">
      <c r="B52" s="82" t="s">
        <v>30</v>
      </c>
      <c r="C52" s="243" t="s">
        <v>433</v>
      </c>
      <c r="D52" s="240" t="s">
        <v>1382</v>
      </c>
      <c r="E52" s="240" t="s">
        <v>1515</v>
      </c>
      <c r="F52" s="240" t="s">
        <v>1648</v>
      </c>
      <c r="G52" s="240" t="s">
        <v>1781</v>
      </c>
      <c r="H52" s="240" t="s">
        <v>1914</v>
      </c>
      <c r="I52" s="240" t="s">
        <v>2047</v>
      </c>
    </row>
    <row r="53" spans="2:9" ht="15" customHeight="1" x14ac:dyDescent="0.25">
      <c r="B53" s="253" t="s">
        <v>434</v>
      </c>
      <c r="C53" s="243" t="s">
        <v>435</v>
      </c>
      <c r="D53" s="240" t="s">
        <v>1383</v>
      </c>
      <c r="E53" s="240" t="s">
        <v>1516</v>
      </c>
      <c r="F53" s="240" t="s">
        <v>1649</v>
      </c>
      <c r="G53" s="240" t="s">
        <v>1782</v>
      </c>
      <c r="H53" s="240" t="s">
        <v>1915</v>
      </c>
      <c r="I53" s="240" t="s">
        <v>2048</v>
      </c>
    </row>
    <row r="54" spans="2:9" ht="15" customHeight="1" x14ac:dyDescent="0.25">
      <c r="B54" s="82" t="s">
        <v>93</v>
      </c>
      <c r="C54" s="207" t="s">
        <v>436</v>
      </c>
      <c r="D54" s="250" t="s">
        <v>1384</v>
      </c>
      <c r="E54" s="240" t="s">
        <v>1517</v>
      </c>
      <c r="F54" s="250" t="s">
        <v>1650</v>
      </c>
      <c r="G54" s="240" t="s">
        <v>1783</v>
      </c>
      <c r="H54" s="240" t="s">
        <v>1994</v>
      </c>
      <c r="I54" s="240" t="s">
        <v>2049</v>
      </c>
    </row>
    <row r="55" spans="2:9" ht="15" customHeight="1" x14ac:dyDescent="0.25">
      <c r="B55" s="82" t="s">
        <v>108</v>
      </c>
      <c r="C55" s="243" t="s">
        <v>437</v>
      </c>
      <c r="D55" s="240" t="s">
        <v>1385</v>
      </c>
      <c r="E55" s="240" t="s">
        <v>1518</v>
      </c>
      <c r="F55" s="240" t="s">
        <v>1651</v>
      </c>
      <c r="G55" s="240" t="s">
        <v>1784</v>
      </c>
      <c r="H55" s="240" t="s">
        <v>1995</v>
      </c>
      <c r="I55" s="240" t="s">
        <v>2050</v>
      </c>
    </row>
    <row r="56" spans="2:9" ht="15" customHeight="1" x14ac:dyDescent="0.25">
      <c r="B56" s="253" t="s">
        <v>438</v>
      </c>
      <c r="C56" s="243" t="s">
        <v>439</v>
      </c>
      <c r="D56" s="240" t="s">
        <v>1386</v>
      </c>
      <c r="E56" s="240" t="s">
        <v>1519</v>
      </c>
      <c r="F56" s="240" t="s">
        <v>1652</v>
      </c>
      <c r="G56" s="240" t="s">
        <v>1785</v>
      </c>
      <c r="H56" s="240" t="s">
        <v>1916</v>
      </c>
      <c r="I56" s="240" t="s">
        <v>2051</v>
      </c>
    </row>
    <row r="57" spans="2:9" ht="15" customHeight="1" x14ac:dyDescent="0.25">
      <c r="B57" s="82" t="s">
        <v>100</v>
      </c>
      <c r="C57" s="243" t="s">
        <v>440</v>
      </c>
      <c r="D57" s="240" t="s">
        <v>1387</v>
      </c>
      <c r="E57" s="240" t="s">
        <v>1520</v>
      </c>
      <c r="F57" s="240" t="s">
        <v>1653</v>
      </c>
      <c r="G57" s="240" t="s">
        <v>1786</v>
      </c>
      <c r="H57" s="240" t="s">
        <v>1917</v>
      </c>
      <c r="I57" s="240" t="s">
        <v>2052</v>
      </c>
    </row>
    <row r="58" spans="2:9" ht="15" customHeight="1" x14ac:dyDescent="0.25">
      <c r="B58" s="253" t="s">
        <v>441</v>
      </c>
      <c r="C58" s="243" t="s">
        <v>442</v>
      </c>
      <c r="D58" s="240" t="s">
        <v>1388</v>
      </c>
      <c r="E58" s="240" t="s">
        <v>1521</v>
      </c>
      <c r="F58" s="240" t="s">
        <v>1654</v>
      </c>
      <c r="G58" s="240" t="s">
        <v>1787</v>
      </c>
      <c r="H58" s="240" t="s">
        <v>1918</v>
      </c>
      <c r="I58" s="240" t="s">
        <v>2053</v>
      </c>
    </row>
    <row r="59" spans="2:9" ht="15" customHeight="1" x14ac:dyDescent="0.25">
      <c r="B59" s="82" t="s">
        <v>61</v>
      </c>
      <c r="C59" s="243" t="s">
        <v>443</v>
      </c>
      <c r="D59" s="240" t="s">
        <v>1389</v>
      </c>
      <c r="E59" s="240" t="s">
        <v>1522</v>
      </c>
      <c r="F59" s="240" t="s">
        <v>1655</v>
      </c>
      <c r="G59" s="240" t="s">
        <v>1788</v>
      </c>
      <c r="H59" s="240" t="s">
        <v>1919</v>
      </c>
      <c r="I59" s="240" t="s">
        <v>2054</v>
      </c>
    </row>
    <row r="60" spans="2:9" ht="15" customHeight="1" x14ac:dyDescent="0.25">
      <c r="B60" s="253" t="s">
        <v>444</v>
      </c>
      <c r="C60" s="243" t="s">
        <v>445</v>
      </c>
      <c r="D60" s="240" t="s">
        <v>1390</v>
      </c>
      <c r="E60" s="240" t="s">
        <v>1523</v>
      </c>
      <c r="F60" s="240" t="s">
        <v>1656</v>
      </c>
      <c r="G60" s="240" t="s">
        <v>1789</v>
      </c>
      <c r="H60" s="240" t="s">
        <v>1920</v>
      </c>
      <c r="I60" s="240" t="s">
        <v>2055</v>
      </c>
    </row>
    <row r="61" spans="2:9" ht="15" customHeight="1" x14ac:dyDescent="0.25">
      <c r="B61" s="82" t="s">
        <v>117</v>
      </c>
      <c r="C61" s="243" t="s">
        <v>446</v>
      </c>
      <c r="D61" s="240" t="s">
        <v>1391</v>
      </c>
      <c r="E61" s="240" t="s">
        <v>1524</v>
      </c>
      <c r="F61" s="240" t="s">
        <v>1657</v>
      </c>
      <c r="G61" s="240" t="s">
        <v>1790</v>
      </c>
      <c r="H61" s="240" t="s">
        <v>1921</v>
      </c>
      <c r="I61" s="240" t="s">
        <v>2056</v>
      </c>
    </row>
    <row r="62" spans="2:9" ht="15" customHeight="1" x14ac:dyDescent="0.25">
      <c r="B62" s="253" t="s">
        <v>447</v>
      </c>
      <c r="C62" s="243" t="s">
        <v>448</v>
      </c>
      <c r="D62" s="240" t="s">
        <v>1392</v>
      </c>
      <c r="E62" s="240" t="s">
        <v>1525</v>
      </c>
      <c r="F62" s="240" t="s">
        <v>1658</v>
      </c>
      <c r="G62" s="240" t="s">
        <v>1791</v>
      </c>
      <c r="H62" s="240" t="s">
        <v>1922</v>
      </c>
      <c r="I62" s="240" t="s">
        <v>2057</v>
      </c>
    </row>
    <row r="63" spans="2:9" ht="15" customHeight="1" x14ac:dyDescent="0.25">
      <c r="B63" s="82" t="s">
        <v>112</v>
      </c>
      <c r="C63" s="243" t="s">
        <v>449</v>
      </c>
      <c r="D63" s="240" t="s">
        <v>1393</v>
      </c>
      <c r="E63" s="240" t="s">
        <v>1526</v>
      </c>
      <c r="F63" s="240" t="s">
        <v>1659</v>
      </c>
      <c r="G63" s="240" t="s">
        <v>1792</v>
      </c>
      <c r="H63" s="240" t="s">
        <v>1923</v>
      </c>
      <c r="I63" s="240" t="s">
        <v>2058</v>
      </c>
    </row>
    <row r="64" spans="2:9" ht="15" customHeight="1" x14ac:dyDescent="0.25">
      <c r="B64" s="253" t="s">
        <v>450</v>
      </c>
      <c r="C64" s="243" t="s">
        <v>451</v>
      </c>
      <c r="D64" s="240" t="s">
        <v>1394</v>
      </c>
      <c r="E64" s="240" t="s">
        <v>1527</v>
      </c>
      <c r="F64" s="240" t="s">
        <v>1660</v>
      </c>
      <c r="G64" s="240" t="s">
        <v>1793</v>
      </c>
      <c r="H64" s="240" t="s">
        <v>1924</v>
      </c>
      <c r="I64" s="240" t="s">
        <v>2059</v>
      </c>
    </row>
    <row r="65" spans="2:9" ht="15" customHeight="1" x14ac:dyDescent="0.25">
      <c r="B65" s="82" t="s">
        <v>119</v>
      </c>
      <c r="C65" s="243" t="s">
        <v>452</v>
      </c>
      <c r="D65" s="240" t="s">
        <v>1395</v>
      </c>
      <c r="E65" s="240" t="s">
        <v>1528</v>
      </c>
      <c r="F65" s="240" t="s">
        <v>1661</v>
      </c>
      <c r="G65" s="240" t="s">
        <v>1794</v>
      </c>
      <c r="H65" s="240" t="s">
        <v>1925</v>
      </c>
      <c r="I65" s="240" t="s">
        <v>2060</v>
      </c>
    </row>
    <row r="66" spans="2:9" ht="15" customHeight="1" x14ac:dyDescent="0.25">
      <c r="B66" s="82" t="s">
        <v>82</v>
      </c>
      <c r="C66" s="243" t="s">
        <v>453</v>
      </c>
      <c r="D66" s="240" t="s">
        <v>1396</v>
      </c>
      <c r="E66" s="240" t="s">
        <v>1529</v>
      </c>
      <c r="F66" s="240" t="s">
        <v>1662</v>
      </c>
      <c r="G66" s="240" t="s">
        <v>1795</v>
      </c>
      <c r="H66" s="240" t="s">
        <v>1926</v>
      </c>
      <c r="I66" s="240" t="s">
        <v>2061</v>
      </c>
    </row>
    <row r="67" spans="2:9" ht="15" customHeight="1" x14ac:dyDescent="0.25">
      <c r="B67" s="82" t="s">
        <v>97</v>
      </c>
      <c r="C67" s="243" t="s">
        <v>454</v>
      </c>
      <c r="D67" s="240" t="s">
        <v>1397</v>
      </c>
      <c r="E67" s="240" t="s">
        <v>1530</v>
      </c>
      <c r="F67" s="240" t="s">
        <v>1663</v>
      </c>
      <c r="G67" s="240" t="s">
        <v>1796</v>
      </c>
      <c r="H67" s="240" t="s">
        <v>1927</v>
      </c>
      <c r="I67" s="240" t="s">
        <v>2062</v>
      </c>
    </row>
    <row r="68" spans="2:9" ht="15" customHeight="1" x14ac:dyDescent="0.25">
      <c r="B68" s="82" t="s">
        <v>88</v>
      </c>
      <c r="C68" s="243" t="s">
        <v>455</v>
      </c>
      <c r="D68" s="240" t="s">
        <v>1398</v>
      </c>
      <c r="E68" s="240" t="s">
        <v>1531</v>
      </c>
      <c r="F68" s="240" t="s">
        <v>1664</v>
      </c>
      <c r="G68" s="240" t="s">
        <v>1797</v>
      </c>
      <c r="H68" s="240" t="s">
        <v>1928</v>
      </c>
      <c r="I68" s="240" t="s">
        <v>2063</v>
      </c>
    </row>
    <row r="69" spans="2:9" ht="15" customHeight="1" x14ac:dyDescent="0.25">
      <c r="B69" s="82" t="s">
        <v>456</v>
      </c>
      <c r="C69" s="243" t="s">
        <v>457</v>
      </c>
      <c r="D69" s="240" t="s">
        <v>1399</v>
      </c>
      <c r="E69" s="240" t="s">
        <v>1532</v>
      </c>
      <c r="F69" s="240" t="s">
        <v>1665</v>
      </c>
      <c r="G69" s="240" t="s">
        <v>1798</v>
      </c>
      <c r="H69" s="240" t="s">
        <v>1929</v>
      </c>
      <c r="I69" s="240" t="s">
        <v>2064</v>
      </c>
    </row>
    <row r="70" spans="2:9" ht="15" customHeight="1" x14ac:dyDescent="0.25">
      <c r="B70" s="82" t="s">
        <v>121</v>
      </c>
      <c r="C70" s="243" t="s">
        <v>458</v>
      </c>
      <c r="D70" s="240" t="s">
        <v>1400</v>
      </c>
      <c r="E70" s="240" t="s">
        <v>1533</v>
      </c>
      <c r="F70" s="240" t="s">
        <v>1666</v>
      </c>
      <c r="G70" s="240" t="s">
        <v>1799</v>
      </c>
      <c r="H70" s="240" t="s">
        <v>1930</v>
      </c>
      <c r="I70" s="240" t="s">
        <v>2065</v>
      </c>
    </row>
    <row r="71" spans="2:9" ht="15" customHeight="1" x14ac:dyDescent="0.25">
      <c r="B71" s="82" t="s">
        <v>24</v>
      </c>
      <c r="C71" s="243" t="s">
        <v>459</v>
      </c>
      <c r="D71" s="240" t="s">
        <v>1401</v>
      </c>
      <c r="E71" s="240" t="s">
        <v>1534</v>
      </c>
      <c r="F71" s="240" t="s">
        <v>1667</v>
      </c>
      <c r="G71" s="240" t="s">
        <v>1800</v>
      </c>
      <c r="H71" s="240" t="s">
        <v>1931</v>
      </c>
      <c r="I71" s="240" t="s">
        <v>2066</v>
      </c>
    </row>
    <row r="72" spans="2:9" ht="15" customHeight="1" x14ac:dyDescent="0.25">
      <c r="B72" s="82" t="s">
        <v>94</v>
      </c>
      <c r="C72" s="243" t="s">
        <v>460</v>
      </c>
      <c r="D72" s="240" t="s">
        <v>1402</v>
      </c>
      <c r="E72" s="240" t="s">
        <v>1535</v>
      </c>
      <c r="F72" s="240" t="s">
        <v>1668</v>
      </c>
      <c r="G72" s="240" t="s">
        <v>1801</v>
      </c>
      <c r="H72" s="240" t="s">
        <v>1996</v>
      </c>
      <c r="I72" s="240" t="s">
        <v>2067</v>
      </c>
    </row>
    <row r="73" spans="2:9" ht="15" customHeight="1" x14ac:dyDescent="0.25">
      <c r="B73" s="82" t="s">
        <v>73</v>
      </c>
      <c r="C73" s="243" t="str">
        <f>"Specific treatment: "&amp;'gevaarljike stoffen'!B15</f>
        <v xml:space="preserve">Specific treatment: </v>
      </c>
      <c r="D73" s="240" t="str">
        <f>"Traitement spécifique: "&amp;'gevaarljike stoffen'!B15</f>
        <v xml:space="preserve">Traitement spécifique: </v>
      </c>
      <c r="E73" s="240" t="str">
        <f>"Specifieke behandeling vereist: "&amp;'gevaarljike stoffen'!B15</f>
        <v xml:space="preserve">Specifieke behandeling vereist: </v>
      </c>
      <c r="F73" s="240" t="str">
        <f>"Trattamento specifico: "&amp;'gevaarljike stoffen'!B15</f>
        <v xml:space="preserve">Trattamento specifico: </v>
      </c>
      <c r="G73" s="240" t="str">
        <f>"Se necesita un tratamiento específico: "&amp;'gevaarljike stoffen'!B15</f>
        <v xml:space="preserve">Se necesita un tratamiento específico: </v>
      </c>
      <c r="H73" s="240" t="str">
        <f>"Zastosować określone leczenie: "&amp;'gevaarljike stoffen'!B15</f>
        <v xml:space="preserve">Zastosować określone leczenie: </v>
      </c>
      <c r="I73" s="240" t="str">
        <f>"Odborné ošetření: "&amp;'gevaarljike stoffen'!B15</f>
        <v xml:space="preserve">Odborné ošetření: </v>
      </c>
    </row>
    <row r="74" spans="2:9" ht="15" customHeight="1" x14ac:dyDescent="0.25">
      <c r="B74" s="82" t="s">
        <v>83</v>
      </c>
      <c r="C74" s="243" t="s">
        <v>462</v>
      </c>
      <c r="D74" s="240" t="s">
        <v>1403</v>
      </c>
      <c r="E74" s="240" t="s">
        <v>1536</v>
      </c>
      <c r="F74" s="240" t="s">
        <v>1669</v>
      </c>
      <c r="G74" s="240" t="s">
        <v>1802</v>
      </c>
      <c r="H74" s="240" t="s">
        <v>1932</v>
      </c>
      <c r="I74" s="240" t="s">
        <v>2068</v>
      </c>
    </row>
    <row r="75" spans="2:9" ht="15" customHeight="1" x14ac:dyDescent="0.25">
      <c r="B75" s="82" t="s">
        <v>74</v>
      </c>
      <c r="C75" s="243" t="s">
        <v>463</v>
      </c>
      <c r="D75" s="240" t="s">
        <v>1404</v>
      </c>
      <c r="E75" s="240" t="s">
        <v>1537</v>
      </c>
      <c r="F75" s="240" t="s">
        <v>1670</v>
      </c>
      <c r="G75" s="240" t="s">
        <v>1803</v>
      </c>
      <c r="H75" s="240" t="s">
        <v>1933</v>
      </c>
      <c r="I75" s="240" t="s">
        <v>2069</v>
      </c>
    </row>
    <row r="76" spans="2:9" ht="15" customHeight="1" x14ac:dyDescent="0.25">
      <c r="B76" s="82" t="s">
        <v>124</v>
      </c>
      <c r="C76" s="243" t="s">
        <v>464</v>
      </c>
      <c r="D76" s="240" t="s">
        <v>1405</v>
      </c>
      <c r="E76" s="240" t="s">
        <v>1538</v>
      </c>
      <c r="F76" s="240" t="s">
        <v>1671</v>
      </c>
      <c r="G76" s="240" t="s">
        <v>1804</v>
      </c>
      <c r="H76" s="240" t="s">
        <v>1934</v>
      </c>
      <c r="I76" s="240" t="s">
        <v>2070</v>
      </c>
    </row>
    <row r="77" spans="2:9" ht="15" customHeight="1" x14ac:dyDescent="0.25">
      <c r="B77" s="253" t="s">
        <v>465</v>
      </c>
      <c r="C77" s="243" t="s">
        <v>466</v>
      </c>
      <c r="D77" s="240" t="s">
        <v>1406</v>
      </c>
      <c r="E77" s="240" t="s">
        <v>1539</v>
      </c>
      <c r="F77" s="240" t="s">
        <v>1672</v>
      </c>
      <c r="G77" s="240" t="s">
        <v>1805</v>
      </c>
      <c r="H77" s="240" t="s">
        <v>1935</v>
      </c>
      <c r="I77" s="240" t="s">
        <v>2071</v>
      </c>
    </row>
    <row r="78" spans="2:9" ht="15" customHeight="1" x14ac:dyDescent="0.25">
      <c r="B78" s="82" t="s">
        <v>467</v>
      </c>
      <c r="C78" s="243" t="s">
        <v>468</v>
      </c>
      <c r="D78" s="240" t="s">
        <v>1407</v>
      </c>
      <c r="E78" s="240" t="s">
        <v>1540</v>
      </c>
      <c r="F78" s="240" t="s">
        <v>1673</v>
      </c>
      <c r="G78" s="240" t="s">
        <v>1806</v>
      </c>
      <c r="H78" s="240" t="s">
        <v>1936</v>
      </c>
      <c r="I78" s="240" t="s">
        <v>2072</v>
      </c>
    </row>
    <row r="79" spans="2:9" ht="15" customHeight="1" x14ac:dyDescent="0.25">
      <c r="B79" s="253" t="s">
        <v>469</v>
      </c>
      <c r="C79" s="243" t="s">
        <v>470</v>
      </c>
      <c r="D79" s="240" t="s">
        <v>1408</v>
      </c>
      <c r="E79" s="240" t="s">
        <v>1541</v>
      </c>
      <c r="F79" s="240" t="s">
        <v>1674</v>
      </c>
      <c r="G79" s="240" t="s">
        <v>1807</v>
      </c>
      <c r="H79" s="240" t="s">
        <v>1937</v>
      </c>
      <c r="I79" s="240" t="s">
        <v>2073</v>
      </c>
    </row>
    <row r="80" spans="2:9" ht="15" customHeight="1" x14ac:dyDescent="0.25">
      <c r="B80" s="82" t="s">
        <v>110</v>
      </c>
      <c r="C80" s="243" t="s">
        <v>471</v>
      </c>
      <c r="D80" s="240" t="s">
        <v>1409</v>
      </c>
      <c r="E80" s="240" t="s">
        <v>1542</v>
      </c>
      <c r="F80" s="240" t="s">
        <v>1675</v>
      </c>
      <c r="G80" s="240" t="s">
        <v>1808</v>
      </c>
      <c r="H80" s="240" t="s">
        <v>1938</v>
      </c>
      <c r="I80" s="240" t="s">
        <v>2130</v>
      </c>
    </row>
    <row r="81" spans="2:9" ht="15" customHeight="1" x14ac:dyDescent="0.25">
      <c r="B81" s="82" t="s">
        <v>472</v>
      </c>
      <c r="C81" s="243" t="s">
        <v>473</v>
      </c>
      <c r="D81" s="240" t="s">
        <v>1410</v>
      </c>
      <c r="E81" s="240" t="s">
        <v>1543</v>
      </c>
      <c r="F81" s="240" t="s">
        <v>1676</v>
      </c>
      <c r="G81" s="240" t="s">
        <v>1809</v>
      </c>
      <c r="H81" s="240" t="s">
        <v>1939</v>
      </c>
      <c r="I81" s="240" t="s">
        <v>2074</v>
      </c>
    </row>
    <row r="82" spans="2:9" ht="15" customHeight="1" x14ac:dyDescent="0.25">
      <c r="B82" s="82" t="s">
        <v>474</v>
      </c>
      <c r="C82" s="243" t="s">
        <v>475</v>
      </c>
      <c r="D82" s="240" t="s">
        <v>1411</v>
      </c>
      <c r="E82" s="240" t="s">
        <v>1544</v>
      </c>
      <c r="F82" s="240" t="s">
        <v>1677</v>
      </c>
      <c r="G82" s="240" t="s">
        <v>1810</v>
      </c>
      <c r="H82" s="240" t="s">
        <v>1940</v>
      </c>
      <c r="I82" s="240" t="s">
        <v>2075</v>
      </c>
    </row>
    <row r="83" spans="2:9" ht="15" customHeight="1" x14ac:dyDescent="0.25">
      <c r="B83" s="82" t="s">
        <v>47</v>
      </c>
      <c r="C83" s="243" t="s">
        <v>476</v>
      </c>
      <c r="D83" s="240" t="s">
        <v>1412</v>
      </c>
      <c r="E83" s="240" t="s">
        <v>1545</v>
      </c>
      <c r="F83" s="240" t="s">
        <v>1678</v>
      </c>
      <c r="G83" s="240" t="s">
        <v>1811</v>
      </c>
      <c r="H83" s="240" t="s">
        <v>1941</v>
      </c>
      <c r="I83" s="240" t="s">
        <v>2076</v>
      </c>
    </row>
    <row r="84" spans="2:9" ht="15" customHeight="1" x14ac:dyDescent="0.25">
      <c r="B84" s="82" t="s">
        <v>23</v>
      </c>
      <c r="C84" s="243" t="s">
        <v>477</v>
      </c>
      <c r="D84" s="240" t="s">
        <v>1413</v>
      </c>
      <c r="E84" s="240" t="s">
        <v>1546</v>
      </c>
      <c r="F84" s="240" t="s">
        <v>1679</v>
      </c>
      <c r="G84" s="240" t="s">
        <v>1812</v>
      </c>
      <c r="H84" s="240" t="s">
        <v>1942</v>
      </c>
      <c r="I84" s="240" t="s">
        <v>2077</v>
      </c>
    </row>
    <row r="85" spans="2:9" ht="15" customHeight="1" x14ac:dyDescent="0.25">
      <c r="B85" s="253" t="s">
        <v>478</v>
      </c>
      <c r="C85" s="243" t="s">
        <v>479</v>
      </c>
      <c r="D85" s="240" t="s">
        <v>1414</v>
      </c>
      <c r="E85" s="240" t="s">
        <v>1547</v>
      </c>
      <c r="F85" s="240" t="s">
        <v>1680</v>
      </c>
      <c r="G85" s="240" t="s">
        <v>1813</v>
      </c>
      <c r="H85" s="240" t="s">
        <v>1943</v>
      </c>
      <c r="I85" s="240" t="s">
        <v>2078</v>
      </c>
    </row>
    <row r="86" spans="2:9" ht="15" customHeight="1" x14ac:dyDescent="0.25">
      <c r="B86" s="82" t="s">
        <v>105</v>
      </c>
      <c r="C86" s="243" t="s">
        <v>480</v>
      </c>
      <c r="D86" s="240" t="s">
        <v>1415</v>
      </c>
      <c r="E86" s="240" t="s">
        <v>1548</v>
      </c>
      <c r="F86" s="240" t="s">
        <v>1681</v>
      </c>
      <c r="G86" s="240" t="s">
        <v>1814</v>
      </c>
      <c r="H86" s="240" t="s">
        <v>1944</v>
      </c>
      <c r="I86" s="240" t="s">
        <v>2079</v>
      </c>
    </row>
    <row r="87" spans="2:9" ht="15" customHeight="1" x14ac:dyDescent="0.25">
      <c r="B87" s="82" t="s">
        <v>481</v>
      </c>
      <c r="C87" s="243" t="s">
        <v>482</v>
      </c>
      <c r="D87" s="240" t="s">
        <v>1416</v>
      </c>
      <c r="E87" s="240" t="s">
        <v>1549</v>
      </c>
      <c r="F87" s="240" t="s">
        <v>1682</v>
      </c>
      <c r="G87" s="240" t="s">
        <v>1815</v>
      </c>
      <c r="H87" s="240" t="s">
        <v>1945</v>
      </c>
      <c r="I87" s="240" t="s">
        <v>2080</v>
      </c>
    </row>
    <row r="88" spans="2:9" ht="15" customHeight="1" x14ac:dyDescent="0.25">
      <c r="B88" s="82" t="s">
        <v>483</v>
      </c>
      <c r="C88" s="243" t="s">
        <v>484</v>
      </c>
      <c r="D88" s="240" t="s">
        <v>1417</v>
      </c>
      <c r="E88" s="240" t="s">
        <v>1550</v>
      </c>
      <c r="F88" s="240" t="s">
        <v>1683</v>
      </c>
      <c r="G88" s="240" t="s">
        <v>1816</v>
      </c>
      <c r="H88" s="240" t="s">
        <v>1946</v>
      </c>
      <c r="I88" s="240" t="s">
        <v>2081</v>
      </c>
    </row>
    <row r="89" spans="2:9" ht="15" customHeight="1" x14ac:dyDescent="0.25">
      <c r="B89" s="82" t="s">
        <v>485</v>
      </c>
      <c r="C89" s="243" t="s">
        <v>486</v>
      </c>
      <c r="D89" s="240" t="s">
        <v>1418</v>
      </c>
      <c r="E89" s="240" t="s">
        <v>1551</v>
      </c>
      <c r="F89" s="240" t="s">
        <v>1684</v>
      </c>
      <c r="G89" s="240" t="s">
        <v>1817</v>
      </c>
      <c r="H89" s="240" t="s">
        <v>1997</v>
      </c>
      <c r="I89" s="240" t="s">
        <v>2082</v>
      </c>
    </row>
    <row r="90" spans="2:9" ht="15" customHeight="1" x14ac:dyDescent="0.25">
      <c r="B90" s="253" t="s">
        <v>487</v>
      </c>
      <c r="C90" s="243" t="s">
        <v>488</v>
      </c>
      <c r="D90" s="240" t="s">
        <v>1419</v>
      </c>
      <c r="E90" s="240" t="s">
        <v>1552</v>
      </c>
      <c r="F90" s="240" t="s">
        <v>1685</v>
      </c>
      <c r="G90" s="240" t="s">
        <v>1818</v>
      </c>
      <c r="H90" s="240" t="s">
        <v>1947</v>
      </c>
      <c r="I90" s="240" t="s">
        <v>2083</v>
      </c>
    </row>
    <row r="91" spans="2:9" ht="15" customHeight="1" x14ac:dyDescent="0.25">
      <c r="B91" s="82" t="s">
        <v>489</v>
      </c>
      <c r="C91" s="243" t="s">
        <v>490</v>
      </c>
      <c r="D91" s="240" t="s">
        <v>1420</v>
      </c>
      <c r="E91" s="240" t="s">
        <v>1553</v>
      </c>
      <c r="F91" s="240" t="s">
        <v>1686</v>
      </c>
      <c r="G91" s="240" t="s">
        <v>1819</v>
      </c>
      <c r="H91" s="240" t="s">
        <v>1948</v>
      </c>
      <c r="I91" s="240" t="s">
        <v>2084</v>
      </c>
    </row>
    <row r="92" spans="2:9" ht="15" customHeight="1" x14ac:dyDescent="0.25">
      <c r="B92" s="82" t="s">
        <v>491</v>
      </c>
      <c r="C92" s="243" t="s">
        <v>492</v>
      </c>
      <c r="D92" s="240" t="s">
        <v>1421</v>
      </c>
      <c r="E92" s="240" t="s">
        <v>1554</v>
      </c>
      <c r="F92" s="240" t="s">
        <v>1687</v>
      </c>
      <c r="G92" s="240" t="s">
        <v>1820</v>
      </c>
      <c r="H92" s="240" t="s">
        <v>1949</v>
      </c>
      <c r="I92" s="240" t="s">
        <v>2085</v>
      </c>
    </row>
    <row r="93" spans="2:9" ht="15" customHeight="1" x14ac:dyDescent="0.25">
      <c r="B93" s="82" t="s">
        <v>493</v>
      </c>
      <c r="C93" s="243" t="s">
        <v>494</v>
      </c>
      <c r="D93" s="240" t="s">
        <v>1422</v>
      </c>
      <c r="E93" s="240" t="s">
        <v>1555</v>
      </c>
      <c r="F93" s="240" t="s">
        <v>1688</v>
      </c>
      <c r="G93" s="240" t="s">
        <v>1821</v>
      </c>
      <c r="H93" s="240" t="s">
        <v>1950</v>
      </c>
      <c r="I93" s="240" t="s">
        <v>2086</v>
      </c>
    </row>
    <row r="94" spans="2:9" ht="15" customHeight="1" x14ac:dyDescent="0.25">
      <c r="B94" s="82" t="s">
        <v>495</v>
      </c>
      <c r="C94" s="243" t="s">
        <v>496</v>
      </c>
      <c r="D94" s="240" t="s">
        <v>1423</v>
      </c>
      <c r="E94" s="240" t="s">
        <v>1556</v>
      </c>
      <c r="F94" s="240" t="s">
        <v>1689</v>
      </c>
      <c r="G94" s="240" t="s">
        <v>1822</v>
      </c>
      <c r="H94" s="240" t="s">
        <v>1951</v>
      </c>
      <c r="I94" s="240" t="s">
        <v>2087</v>
      </c>
    </row>
    <row r="95" spans="2:9" ht="15" customHeight="1" x14ac:dyDescent="0.25">
      <c r="B95" s="82" t="s">
        <v>497</v>
      </c>
      <c r="C95" s="243" t="s">
        <v>498</v>
      </c>
      <c r="D95" s="240" t="s">
        <v>1424</v>
      </c>
      <c r="E95" s="240" t="s">
        <v>1557</v>
      </c>
      <c r="F95" s="240" t="s">
        <v>1690</v>
      </c>
      <c r="G95" s="240" t="s">
        <v>1823</v>
      </c>
      <c r="H95" s="240" t="s">
        <v>1952</v>
      </c>
      <c r="I95" s="240" t="s">
        <v>2088</v>
      </c>
    </row>
    <row r="96" spans="2:9" ht="15" customHeight="1" x14ac:dyDescent="0.25">
      <c r="B96" s="82" t="s">
        <v>499</v>
      </c>
      <c r="C96" s="243" t="s">
        <v>500</v>
      </c>
      <c r="D96" s="240" t="s">
        <v>1425</v>
      </c>
      <c r="E96" s="240" t="s">
        <v>1558</v>
      </c>
      <c r="F96" s="240" t="s">
        <v>1691</v>
      </c>
      <c r="G96" s="240" t="s">
        <v>1824</v>
      </c>
      <c r="H96" s="240" t="s">
        <v>1953</v>
      </c>
      <c r="I96" s="240" t="s">
        <v>2089</v>
      </c>
    </row>
    <row r="97" spans="2:9" ht="15" customHeight="1" x14ac:dyDescent="0.25">
      <c r="B97" s="82" t="s">
        <v>84</v>
      </c>
      <c r="C97" s="243" t="s">
        <v>501</v>
      </c>
      <c r="D97" s="240" t="s">
        <v>1426</v>
      </c>
      <c r="E97" s="240" t="s">
        <v>1559</v>
      </c>
      <c r="F97" s="240" t="s">
        <v>1692</v>
      </c>
      <c r="G97" s="240" t="s">
        <v>1825</v>
      </c>
      <c r="H97" s="240" t="s">
        <v>1954</v>
      </c>
      <c r="I97" s="240" t="s">
        <v>2090</v>
      </c>
    </row>
    <row r="98" spans="2:9" ht="15" customHeight="1" x14ac:dyDescent="0.25">
      <c r="B98" s="82" t="s">
        <v>102</v>
      </c>
      <c r="C98" s="243" t="s">
        <v>502</v>
      </c>
      <c r="D98" s="240" t="s">
        <v>1427</v>
      </c>
      <c r="E98" s="240" t="s">
        <v>1560</v>
      </c>
      <c r="F98" s="240" t="s">
        <v>1693</v>
      </c>
      <c r="G98" s="240" t="s">
        <v>1826</v>
      </c>
      <c r="H98" s="240" t="s">
        <v>1955</v>
      </c>
      <c r="I98" s="240" t="s">
        <v>2091</v>
      </c>
    </row>
    <row r="99" spans="2:9" ht="15" customHeight="1" x14ac:dyDescent="0.25">
      <c r="B99" s="82" t="s">
        <v>85</v>
      </c>
      <c r="C99" s="243" t="s">
        <v>503</v>
      </c>
      <c r="D99" s="240" t="s">
        <v>1428</v>
      </c>
      <c r="E99" s="240" t="s">
        <v>1561</v>
      </c>
      <c r="F99" s="240" t="s">
        <v>1694</v>
      </c>
      <c r="G99" s="240" t="s">
        <v>1827</v>
      </c>
      <c r="H99" s="240" t="s">
        <v>1956</v>
      </c>
      <c r="I99" s="240" t="s">
        <v>2092</v>
      </c>
    </row>
    <row r="100" spans="2:9" ht="15" customHeight="1" x14ac:dyDescent="0.25">
      <c r="B100" s="252" t="s">
        <v>312</v>
      </c>
      <c r="C100" s="243" t="s">
        <v>504</v>
      </c>
      <c r="D100" s="240" t="s">
        <v>1429</v>
      </c>
      <c r="E100" s="240" t="s">
        <v>1562</v>
      </c>
      <c r="F100" s="240" t="s">
        <v>1695</v>
      </c>
      <c r="G100" s="240" t="s">
        <v>1828</v>
      </c>
      <c r="H100" s="240" t="s">
        <v>1957</v>
      </c>
      <c r="I100" s="240" t="s">
        <v>2093</v>
      </c>
    </row>
    <row r="101" spans="2:9" ht="15" customHeight="1" x14ac:dyDescent="0.25">
      <c r="B101" s="252" t="s">
        <v>18</v>
      </c>
      <c r="C101" s="243" t="s">
        <v>505</v>
      </c>
      <c r="D101" s="240" t="s">
        <v>1430</v>
      </c>
      <c r="E101" s="240" t="s">
        <v>1563</v>
      </c>
      <c r="F101" s="240" t="s">
        <v>1696</v>
      </c>
      <c r="G101" s="240" t="s">
        <v>1829</v>
      </c>
      <c r="H101" s="240" t="s">
        <v>1958</v>
      </c>
      <c r="I101" s="240" t="s">
        <v>2094</v>
      </c>
    </row>
    <row r="102" spans="2:9" ht="15" customHeight="1" x14ac:dyDescent="0.25">
      <c r="B102" s="252" t="s">
        <v>31</v>
      </c>
      <c r="C102" s="243" t="str">
        <f>"In case of fire: Use "&amp;'gevaarljike stoffen'!B13&amp;" for extinction."</f>
        <v>In case of fire: Use  for extinction.</v>
      </c>
      <c r="D102" s="240" t="str">
        <f>"En cas d’incendie: utiliser "&amp;'gevaarljike stoffen'!B13&amp;" pour l’extinction."</f>
        <v>En cas d’incendie: utiliser  pour l’extinction.</v>
      </c>
      <c r="E102" s="240" t="str">
        <f>"In geval van brand: blussen met "&amp;'gevaarljike stoffen'!B13</f>
        <v xml:space="preserve">In geval van brand: blussen met </v>
      </c>
      <c r="F102" s="240" t="str">
        <f>"In caso di incendio: estinguere con "&amp;'gevaarljike stoffen'!B13</f>
        <v xml:space="preserve">In caso di incendio: estinguere con </v>
      </c>
      <c r="G102" s="240" t="str">
        <f>"En caso de incendio: Utilizar "&amp;'gevaarljike stoffen'!B13&amp;" para apagarlo."</f>
        <v>En caso de incendio: Utilizar  para apagarlo.</v>
      </c>
      <c r="H102" s="240" t="str">
        <f>"W przypadku pożaru: Użyć "&amp;'gevaarljike stoffen'!B13&amp;" do gaszenia."</f>
        <v>W przypadku pożaru: Użyć  do gaszenia.</v>
      </c>
      <c r="I102" s="240" t="str">
        <f>"V případě požáru: K hašení použijte "&amp;'gevaarljike stoffen'!B13</f>
        <v xml:space="preserve">V případě požáru: K hašení použijte </v>
      </c>
    </row>
    <row r="103" spans="2:9" ht="15" customHeight="1" x14ac:dyDescent="0.25">
      <c r="B103" s="252" t="s">
        <v>507</v>
      </c>
      <c r="C103" s="243" t="s">
        <v>508</v>
      </c>
      <c r="D103" s="240" t="s">
        <v>1431</v>
      </c>
      <c r="E103" s="240" t="s">
        <v>1564</v>
      </c>
      <c r="F103" s="240" t="s">
        <v>1697</v>
      </c>
      <c r="G103" s="240" t="s">
        <v>1830</v>
      </c>
      <c r="H103" s="240" t="s">
        <v>1959</v>
      </c>
      <c r="I103" s="240" t="s">
        <v>2095</v>
      </c>
    </row>
    <row r="104" spans="2:9" ht="15" customHeight="1" x14ac:dyDescent="0.25">
      <c r="B104" s="252" t="s">
        <v>38</v>
      </c>
      <c r="C104" s="243" t="s">
        <v>509</v>
      </c>
      <c r="D104" s="240" t="s">
        <v>1432</v>
      </c>
      <c r="E104" s="240" t="s">
        <v>1565</v>
      </c>
      <c r="F104" s="240" t="s">
        <v>1698</v>
      </c>
      <c r="G104" s="240" t="s">
        <v>1831</v>
      </c>
      <c r="H104" s="240" t="s">
        <v>1960</v>
      </c>
      <c r="I104" s="240" t="s">
        <v>2096</v>
      </c>
    </row>
    <row r="105" spans="2:9" ht="15" customHeight="1" x14ac:dyDescent="0.25">
      <c r="B105" s="252" t="s">
        <v>510</v>
      </c>
      <c r="C105" s="243" t="s">
        <v>511</v>
      </c>
      <c r="D105" s="240" t="s">
        <v>1433</v>
      </c>
      <c r="E105" s="240" t="s">
        <v>1566</v>
      </c>
      <c r="F105" s="240" t="s">
        <v>1699</v>
      </c>
      <c r="G105" s="240" t="s">
        <v>1832</v>
      </c>
      <c r="H105" s="240" t="s">
        <v>1961</v>
      </c>
      <c r="I105" s="240" t="s">
        <v>2097</v>
      </c>
    </row>
    <row r="106" spans="2:9" ht="15" customHeight="1" x14ac:dyDescent="0.25">
      <c r="B106" s="252" t="s">
        <v>62</v>
      </c>
      <c r="C106" s="243" t="s">
        <v>512</v>
      </c>
      <c r="D106" s="240" t="s">
        <v>1434</v>
      </c>
      <c r="E106" s="240" t="s">
        <v>1567</v>
      </c>
      <c r="F106" s="240" t="s">
        <v>1700</v>
      </c>
      <c r="G106" s="240" t="s">
        <v>1833</v>
      </c>
      <c r="H106" s="240" t="s">
        <v>1962</v>
      </c>
      <c r="I106" s="240" t="s">
        <v>2098</v>
      </c>
    </row>
    <row r="107" spans="2:9" ht="15" customHeight="1" x14ac:dyDescent="0.25">
      <c r="B107" s="82" t="s">
        <v>513</v>
      </c>
      <c r="C107" s="243" t="s">
        <v>514</v>
      </c>
      <c r="D107" s="240" t="s">
        <v>1435</v>
      </c>
      <c r="E107" s="240" t="s">
        <v>1568</v>
      </c>
      <c r="F107" s="240" t="s">
        <v>1701</v>
      </c>
      <c r="G107" s="240" t="s">
        <v>1834</v>
      </c>
      <c r="H107" s="240" t="s">
        <v>1963</v>
      </c>
      <c r="I107" s="240" t="s">
        <v>2099</v>
      </c>
    </row>
    <row r="108" spans="2:9" ht="15" customHeight="1" x14ac:dyDescent="0.25">
      <c r="B108" s="82" t="s">
        <v>515</v>
      </c>
      <c r="C108" s="243" t="s">
        <v>516</v>
      </c>
      <c r="D108" s="240" t="s">
        <v>1436</v>
      </c>
      <c r="E108" s="240" t="s">
        <v>1569</v>
      </c>
      <c r="F108" s="240" t="s">
        <v>1702</v>
      </c>
      <c r="G108" s="240" t="s">
        <v>1835</v>
      </c>
      <c r="H108" s="240" t="s">
        <v>1964</v>
      </c>
      <c r="I108" s="240" t="s">
        <v>2100</v>
      </c>
    </row>
    <row r="109" spans="2:9" ht="15" customHeight="1" x14ac:dyDescent="0.25">
      <c r="B109" s="82" t="s">
        <v>517</v>
      </c>
      <c r="C109" s="243" t="s">
        <v>518</v>
      </c>
      <c r="D109" s="240" t="s">
        <v>1437</v>
      </c>
      <c r="E109" s="240" t="s">
        <v>1570</v>
      </c>
      <c r="F109" s="240" t="s">
        <v>1703</v>
      </c>
      <c r="G109" s="240" t="s">
        <v>1836</v>
      </c>
      <c r="H109" s="240" t="s">
        <v>1965</v>
      </c>
      <c r="I109" s="240" t="s">
        <v>2101</v>
      </c>
    </row>
    <row r="110" spans="2:9" ht="15" customHeight="1" x14ac:dyDescent="0.25">
      <c r="B110" s="82" t="s">
        <v>519</v>
      </c>
      <c r="C110" s="243" t="s">
        <v>520</v>
      </c>
      <c r="D110" s="240" t="s">
        <v>1438</v>
      </c>
      <c r="E110" s="240" t="s">
        <v>1571</v>
      </c>
      <c r="F110" s="240" t="s">
        <v>1704</v>
      </c>
      <c r="G110" s="240" t="s">
        <v>1837</v>
      </c>
      <c r="H110" s="240" t="s">
        <v>1966</v>
      </c>
      <c r="I110" s="240" t="s">
        <v>2102</v>
      </c>
    </row>
    <row r="111" spans="2:9" ht="15" customHeight="1" x14ac:dyDescent="0.25">
      <c r="B111" s="82" t="s">
        <v>521</v>
      </c>
      <c r="C111" s="243" t="s">
        <v>522</v>
      </c>
      <c r="D111" s="240" t="s">
        <v>1439</v>
      </c>
      <c r="E111" s="240" t="s">
        <v>1572</v>
      </c>
      <c r="F111" s="240" t="s">
        <v>1705</v>
      </c>
      <c r="G111" s="240" t="s">
        <v>1838</v>
      </c>
      <c r="H111" s="240" t="s">
        <v>1967</v>
      </c>
      <c r="I111" s="240" t="s">
        <v>2103</v>
      </c>
    </row>
    <row r="112" spans="2:9" ht="15" customHeight="1" x14ac:dyDescent="0.25">
      <c r="B112" s="82" t="s">
        <v>7</v>
      </c>
      <c r="C112" s="243" t="s">
        <v>523</v>
      </c>
      <c r="D112" s="240" t="s">
        <v>1440</v>
      </c>
      <c r="E112" s="240" t="s">
        <v>1573</v>
      </c>
      <c r="F112" s="240" t="s">
        <v>1706</v>
      </c>
      <c r="G112" s="240" t="s">
        <v>1839</v>
      </c>
      <c r="H112" s="240" t="s">
        <v>1968</v>
      </c>
      <c r="I112" s="240" t="s">
        <v>2104</v>
      </c>
    </row>
    <row r="113" spans="2:9" ht="15" customHeight="1" x14ac:dyDescent="0.25">
      <c r="B113" s="82" t="s">
        <v>524</v>
      </c>
      <c r="C113" s="243" t="s">
        <v>525</v>
      </c>
      <c r="D113" s="240" t="s">
        <v>1441</v>
      </c>
      <c r="E113" s="240" t="s">
        <v>1574</v>
      </c>
      <c r="F113" s="240" t="s">
        <v>1707</v>
      </c>
      <c r="G113" s="240" t="s">
        <v>1840</v>
      </c>
      <c r="H113" s="240" t="s">
        <v>1969</v>
      </c>
      <c r="I113" s="240" t="s">
        <v>2105</v>
      </c>
    </row>
    <row r="114" spans="2:9" ht="15" customHeight="1" x14ac:dyDescent="0.25">
      <c r="B114" s="82" t="s">
        <v>526</v>
      </c>
      <c r="C114" s="243" t="s">
        <v>527</v>
      </c>
      <c r="D114" s="240" t="s">
        <v>1442</v>
      </c>
      <c r="E114" s="240" t="s">
        <v>1575</v>
      </c>
      <c r="F114" s="240" t="s">
        <v>1708</v>
      </c>
      <c r="G114" s="240" t="s">
        <v>1841</v>
      </c>
      <c r="H114" s="240" t="s">
        <v>1970</v>
      </c>
      <c r="I114" s="240" t="s">
        <v>2106</v>
      </c>
    </row>
    <row r="115" spans="2:9" ht="15" customHeight="1" x14ac:dyDescent="0.25">
      <c r="B115" s="82" t="s">
        <v>8</v>
      </c>
      <c r="C115" s="243" t="s">
        <v>528</v>
      </c>
      <c r="D115" s="240" t="s">
        <v>1443</v>
      </c>
      <c r="E115" s="240" t="s">
        <v>1576</v>
      </c>
      <c r="F115" s="240" t="s">
        <v>1709</v>
      </c>
      <c r="G115" s="240" t="s">
        <v>1842</v>
      </c>
      <c r="H115" s="240" t="s">
        <v>1971</v>
      </c>
      <c r="I115" s="240" t="s">
        <v>2107</v>
      </c>
    </row>
    <row r="116" spans="2:9" ht="15" customHeight="1" x14ac:dyDescent="0.25">
      <c r="B116" s="82" t="s">
        <v>67</v>
      </c>
      <c r="C116" s="243" t="s">
        <v>529</v>
      </c>
      <c r="D116" s="240" t="s">
        <v>1444</v>
      </c>
      <c r="E116" s="240" t="s">
        <v>1577</v>
      </c>
      <c r="F116" s="240" t="s">
        <v>1710</v>
      </c>
      <c r="G116" s="240" t="s">
        <v>1843</v>
      </c>
      <c r="H116" s="240" t="s">
        <v>1972</v>
      </c>
      <c r="I116" s="240" t="s">
        <v>2108</v>
      </c>
    </row>
    <row r="117" spans="2:9" ht="15" customHeight="1" x14ac:dyDescent="0.25">
      <c r="B117" s="82" t="s">
        <v>127</v>
      </c>
      <c r="C117" s="243" t="s">
        <v>530</v>
      </c>
      <c r="D117" s="240" t="s">
        <v>1445</v>
      </c>
      <c r="E117" s="240" t="s">
        <v>1578</v>
      </c>
      <c r="F117" s="240" t="s">
        <v>1711</v>
      </c>
      <c r="G117" s="240" t="s">
        <v>1844</v>
      </c>
      <c r="H117" s="240" t="s">
        <v>1973</v>
      </c>
      <c r="I117" s="240" t="s">
        <v>2109</v>
      </c>
    </row>
    <row r="118" spans="2:9" ht="15" customHeight="1" x14ac:dyDescent="0.25">
      <c r="B118" s="82" t="s">
        <v>531</v>
      </c>
      <c r="C118" s="243" t="s">
        <v>532</v>
      </c>
      <c r="D118" s="240" t="s">
        <v>1446</v>
      </c>
      <c r="E118" s="240" t="s">
        <v>1579</v>
      </c>
      <c r="F118" s="240" t="s">
        <v>1712</v>
      </c>
      <c r="G118" s="240" t="s">
        <v>1845</v>
      </c>
      <c r="H118" s="240" t="s">
        <v>1974</v>
      </c>
      <c r="I118" s="240" t="s">
        <v>2110</v>
      </c>
    </row>
    <row r="119" spans="2:9" ht="15" customHeight="1" x14ac:dyDescent="0.25">
      <c r="B119" s="82" t="s">
        <v>533</v>
      </c>
      <c r="C119" s="243" t="s">
        <v>534</v>
      </c>
      <c r="D119" s="240" t="s">
        <v>1447</v>
      </c>
      <c r="E119" s="240" t="s">
        <v>1580</v>
      </c>
      <c r="F119" s="240" t="s">
        <v>1713</v>
      </c>
      <c r="G119" s="240" t="s">
        <v>1846</v>
      </c>
      <c r="H119" s="240" t="s">
        <v>1975</v>
      </c>
      <c r="I119" s="240" t="s">
        <v>2111</v>
      </c>
    </row>
    <row r="120" spans="2:9" ht="15" customHeight="1" x14ac:dyDescent="0.25">
      <c r="B120" s="82" t="s">
        <v>56</v>
      </c>
      <c r="C120" s="243" t="s">
        <v>535</v>
      </c>
      <c r="D120" s="240" t="s">
        <v>1448</v>
      </c>
      <c r="E120" s="240" t="s">
        <v>1581</v>
      </c>
      <c r="F120" s="240" t="s">
        <v>1714</v>
      </c>
      <c r="G120" s="240" t="s">
        <v>1847</v>
      </c>
      <c r="H120" s="240" t="s">
        <v>1976</v>
      </c>
      <c r="I120" s="240" t="s">
        <v>2112</v>
      </c>
    </row>
    <row r="121" spans="2:9" ht="15" customHeight="1" x14ac:dyDescent="0.25">
      <c r="B121" s="82" t="s">
        <v>9</v>
      </c>
      <c r="C121" s="243" t="s">
        <v>536</v>
      </c>
      <c r="D121" s="240" t="s">
        <v>1449</v>
      </c>
      <c r="E121" s="240" t="s">
        <v>1582</v>
      </c>
      <c r="F121" s="240" t="s">
        <v>1715</v>
      </c>
      <c r="G121" s="240" t="s">
        <v>1848</v>
      </c>
      <c r="H121" s="240" t="s">
        <v>1977</v>
      </c>
      <c r="I121" s="240" t="s">
        <v>2113</v>
      </c>
    </row>
    <row r="122" spans="2:9" ht="15" customHeight="1" x14ac:dyDescent="0.25">
      <c r="B122" s="82" t="s">
        <v>95</v>
      </c>
      <c r="C122" s="243" t="s">
        <v>537</v>
      </c>
      <c r="D122" s="240" t="s">
        <v>1450</v>
      </c>
      <c r="E122" s="240" t="s">
        <v>1583</v>
      </c>
      <c r="F122" s="240" t="s">
        <v>1716</v>
      </c>
      <c r="G122" s="240" t="s">
        <v>1849</v>
      </c>
      <c r="H122" s="240" t="s">
        <v>1978</v>
      </c>
      <c r="I122" s="240" t="s">
        <v>2114</v>
      </c>
    </row>
    <row r="123" spans="2:9" ht="15" customHeight="1" x14ac:dyDescent="0.25">
      <c r="B123" s="82" t="s">
        <v>32</v>
      </c>
      <c r="C123" s="243" t="s">
        <v>538</v>
      </c>
      <c r="D123" s="240" t="s">
        <v>1451</v>
      </c>
      <c r="E123" s="240" t="s">
        <v>1584</v>
      </c>
      <c r="F123" s="240" t="s">
        <v>1717</v>
      </c>
      <c r="G123" s="240" t="s">
        <v>1850</v>
      </c>
      <c r="H123" s="240" t="s">
        <v>1979</v>
      </c>
      <c r="I123" s="240" t="s">
        <v>2115</v>
      </c>
    </row>
    <row r="124" spans="2:9" ht="15" customHeight="1" x14ac:dyDescent="0.25">
      <c r="B124" s="82" t="s">
        <v>309</v>
      </c>
      <c r="C124" s="243" t="s">
        <v>539</v>
      </c>
      <c r="D124" s="240" t="s">
        <v>1452</v>
      </c>
      <c r="E124" s="240" t="s">
        <v>1585</v>
      </c>
      <c r="F124" s="240" t="s">
        <v>1718</v>
      </c>
      <c r="G124" s="240" t="s">
        <v>1851</v>
      </c>
      <c r="H124" s="240" t="s">
        <v>1980</v>
      </c>
      <c r="I124" s="240" t="s">
        <v>2116</v>
      </c>
    </row>
    <row r="125" spans="2:9" ht="15" customHeight="1" x14ac:dyDescent="0.25">
      <c r="B125" s="82" t="s">
        <v>75</v>
      </c>
      <c r="C125" s="243" t="s">
        <v>540</v>
      </c>
      <c r="D125" s="240" t="s">
        <v>1453</v>
      </c>
      <c r="E125" s="240" t="s">
        <v>1586</v>
      </c>
      <c r="F125" s="240" t="s">
        <v>1719</v>
      </c>
      <c r="G125" s="240" t="s">
        <v>1852</v>
      </c>
      <c r="H125" s="240" t="s">
        <v>1981</v>
      </c>
      <c r="I125" s="240" t="s">
        <v>2117</v>
      </c>
    </row>
    <row r="126" spans="2:9" ht="15" customHeight="1" x14ac:dyDescent="0.25">
      <c r="B126" s="82" t="s">
        <v>68</v>
      </c>
      <c r="C126" s="243" t="s">
        <v>541</v>
      </c>
      <c r="D126" s="240" t="s">
        <v>1454</v>
      </c>
      <c r="E126" s="240" t="s">
        <v>1587</v>
      </c>
      <c r="F126" s="240" t="s">
        <v>1720</v>
      </c>
      <c r="G126" s="240" t="s">
        <v>1853</v>
      </c>
      <c r="H126" s="240" t="s">
        <v>1982</v>
      </c>
      <c r="I126" s="240" t="s">
        <v>2118</v>
      </c>
    </row>
    <row r="127" spans="2:9" ht="15" customHeight="1" x14ac:dyDescent="0.25">
      <c r="B127" s="82" t="s">
        <v>50</v>
      </c>
      <c r="C127" s="243" t="s">
        <v>542</v>
      </c>
      <c r="D127" s="240" t="s">
        <v>1455</v>
      </c>
      <c r="E127" s="240" t="s">
        <v>1588</v>
      </c>
      <c r="F127" s="240" t="s">
        <v>1721</v>
      </c>
      <c r="G127" s="240" t="s">
        <v>1854</v>
      </c>
      <c r="H127" s="240" t="s">
        <v>1983</v>
      </c>
      <c r="I127" s="240" t="s">
        <v>2119</v>
      </c>
    </row>
    <row r="128" spans="2:9" ht="15" customHeight="1" x14ac:dyDescent="0.25">
      <c r="B128" s="82" t="s">
        <v>65</v>
      </c>
      <c r="C128" s="243" t="s">
        <v>543</v>
      </c>
      <c r="D128" s="240" t="s">
        <v>1456</v>
      </c>
      <c r="E128" s="240" t="s">
        <v>1589</v>
      </c>
      <c r="F128" s="240" t="s">
        <v>1722</v>
      </c>
      <c r="G128" s="240" t="s">
        <v>1855</v>
      </c>
      <c r="H128" s="240" t="s">
        <v>1984</v>
      </c>
      <c r="I128" s="240" t="s">
        <v>2120</v>
      </c>
    </row>
    <row r="129" spans="2:9" ht="15" customHeight="1" x14ac:dyDescent="0.25">
      <c r="B129" s="82" t="s">
        <v>20</v>
      </c>
      <c r="C129" s="243" t="s">
        <v>544</v>
      </c>
      <c r="D129" s="240" t="s">
        <v>1457</v>
      </c>
      <c r="E129" s="240" t="s">
        <v>1590</v>
      </c>
      <c r="F129" s="240" t="s">
        <v>1723</v>
      </c>
      <c r="G129" s="240" t="s">
        <v>1856</v>
      </c>
      <c r="H129" s="240" t="s">
        <v>1985</v>
      </c>
      <c r="I129" s="240" t="s">
        <v>2121</v>
      </c>
    </row>
    <row r="130" spans="2:9" ht="15" customHeight="1" x14ac:dyDescent="0.25">
      <c r="B130" s="82" t="s">
        <v>13</v>
      </c>
      <c r="C130" s="243" t="s">
        <v>545</v>
      </c>
      <c r="D130" s="240" t="s">
        <v>1458</v>
      </c>
      <c r="E130" s="240" t="s">
        <v>1591</v>
      </c>
      <c r="F130" s="240" t="s">
        <v>1724</v>
      </c>
      <c r="G130" s="240" t="s">
        <v>1857</v>
      </c>
      <c r="H130" s="240" t="s">
        <v>1986</v>
      </c>
      <c r="I130" s="240" t="s">
        <v>2122</v>
      </c>
    </row>
    <row r="131" spans="2:9" ht="15" customHeight="1" x14ac:dyDescent="0.25">
      <c r="B131" s="82" t="s">
        <v>39</v>
      </c>
      <c r="C131" s="243" t="s">
        <v>546</v>
      </c>
      <c r="D131" s="240" t="s">
        <v>1459</v>
      </c>
      <c r="E131" s="240" t="s">
        <v>1592</v>
      </c>
      <c r="F131" s="240" t="s">
        <v>1725</v>
      </c>
      <c r="G131" s="240" t="s">
        <v>1858</v>
      </c>
      <c r="H131" s="240" t="s">
        <v>1987</v>
      </c>
      <c r="I131" s="240" t="s">
        <v>2123</v>
      </c>
    </row>
    <row r="132" spans="2:9" ht="15" customHeight="1" x14ac:dyDescent="0.25">
      <c r="B132" s="82" t="s">
        <v>64</v>
      </c>
      <c r="C132" s="243" t="s">
        <v>547</v>
      </c>
      <c r="D132" s="240" t="s">
        <v>1460</v>
      </c>
      <c r="E132" s="240" t="s">
        <v>1593</v>
      </c>
      <c r="F132" s="240" t="s">
        <v>1726</v>
      </c>
      <c r="G132" s="240" t="s">
        <v>1859</v>
      </c>
      <c r="H132" s="240" t="s">
        <v>1988</v>
      </c>
      <c r="I132" s="240" t="s">
        <v>2124</v>
      </c>
    </row>
    <row r="133" spans="2:9" ht="15" customHeight="1" x14ac:dyDescent="0.25">
      <c r="B133" s="82" t="s">
        <v>548</v>
      </c>
      <c r="C133" s="243" t="s">
        <v>549</v>
      </c>
      <c r="D133" s="240" t="s">
        <v>1461</v>
      </c>
      <c r="E133" s="240" t="s">
        <v>1594</v>
      </c>
      <c r="F133" s="240" t="s">
        <v>1727</v>
      </c>
      <c r="G133" s="240" t="s">
        <v>1860</v>
      </c>
      <c r="H133" s="240" t="s">
        <v>1989</v>
      </c>
      <c r="I133" s="240" t="s">
        <v>2125</v>
      </c>
    </row>
    <row r="134" spans="2:9" ht="15" customHeight="1" x14ac:dyDescent="0.25">
      <c r="B134" s="82" t="s">
        <v>51</v>
      </c>
      <c r="C134" s="243" t="s">
        <v>550</v>
      </c>
      <c r="D134" s="240" t="s">
        <v>1462</v>
      </c>
      <c r="E134" s="240" t="s">
        <v>1595</v>
      </c>
      <c r="F134" s="240" t="s">
        <v>1728</v>
      </c>
      <c r="G134" s="240" t="s">
        <v>1861</v>
      </c>
      <c r="H134" s="240" t="s">
        <v>1990</v>
      </c>
      <c r="I134" s="240" t="s">
        <v>2126</v>
      </c>
    </row>
    <row r="135" spans="2:9" ht="15" customHeight="1" x14ac:dyDescent="0.25">
      <c r="B135" s="82" t="s">
        <v>40</v>
      </c>
      <c r="C135" s="243" t="s">
        <v>551</v>
      </c>
      <c r="D135" s="240" t="s">
        <v>1463</v>
      </c>
      <c r="E135" s="240" t="s">
        <v>1596</v>
      </c>
      <c r="F135" s="240" t="s">
        <v>1729</v>
      </c>
      <c r="G135" s="240" t="s">
        <v>1862</v>
      </c>
      <c r="H135" s="240" t="s">
        <v>1991</v>
      </c>
      <c r="I135" s="240" t="s">
        <v>2127</v>
      </c>
    </row>
    <row r="136" spans="2:9" ht="15" customHeight="1" x14ac:dyDescent="0.25">
      <c r="B136" s="82" t="s">
        <v>46</v>
      </c>
      <c r="C136" s="243" t="s">
        <v>552</v>
      </c>
      <c r="D136" s="240" t="s">
        <v>1464</v>
      </c>
      <c r="E136" s="240" t="s">
        <v>1597</v>
      </c>
      <c r="F136" s="240" t="s">
        <v>1730</v>
      </c>
      <c r="G136" s="240" t="s">
        <v>1863</v>
      </c>
      <c r="H136" s="240" t="s">
        <v>1992</v>
      </c>
      <c r="I136" s="240" t="s">
        <v>2128</v>
      </c>
    </row>
    <row r="137" spans="2:9" ht="15" customHeight="1" x14ac:dyDescent="0.25">
      <c r="B137" s="82" t="s">
        <v>3</v>
      </c>
      <c r="C137" s="243" t="s">
        <v>553</v>
      </c>
      <c r="D137" s="240" t="s">
        <v>1465</v>
      </c>
      <c r="E137" s="240" t="s">
        <v>1598</v>
      </c>
      <c r="F137" s="240" t="s">
        <v>1731</v>
      </c>
      <c r="G137" s="240" t="s">
        <v>1864</v>
      </c>
      <c r="H137" s="240" t="s">
        <v>1993</v>
      </c>
      <c r="I137" s="240" t="s">
        <v>2129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L109"/>
  <sheetViews>
    <sheetView workbookViewId="0">
      <selection activeCell="M6" sqref="M6"/>
    </sheetView>
  </sheetViews>
  <sheetFormatPr defaultRowHeight="12" x14ac:dyDescent="0.25"/>
  <cols>
    <col min="1" max="1" width="11.140625" style="9" bestFit="1" customWidth="1"/>
    <col min="2" max="2" width="5.42578125" style="9" bestFit="1" customWidth="1"/>
    <col min="3" max="3" width="67.28515625" style="9" bestFit="1" customWidth="1"/>
    <col min="4" max="7" width="4.85546875" style="9" customWidth="1"/>
    <col min="8" max="10" width="9.140625" style="9"/>
    <col min="11" max="11" width="9.140625" style="9" customWidth="1"/>
    <col min="12" max="21" width="9.140625" style="9"/>
    <col min="22" max="23" width="9.7109375" style="9" bestFit="1" customWidth="1"/>
    <col min="24" max="26" width="9.140625" style="9"/>
    <col min="27" max="27" width="11.5703125" style="9" bestFit="1" customWidth="1"/>
    <col min="28" max="30" width="9.140625" style="9"/>
    <col min="31" max="31" width="12.7109375" style="9" bestFit="1" customWidth="1"/>
    <col min="32" max="16384" width="9.140625" style="9"/>
  </cols>
  <sheetData>
    <row r="1" spans="1:38" ht="36.75" thickBot="1" x14ac:dyDescent="0.3">
      <c r="A1" s="47" t="s">
        <v>580</v>
      </c>
      <c r="B1" s="47"/>
      <c r="C1" s="48" t="s">
        <v>581</v>
      </c>
      <c r="D1" s="52"/>
      <c r="AD1" s="9" t="s">
        <v>690</v>
      </c>
      <c r="AE1" s="77"/>
    </row>
    <row r="2" spans="1:38" ht="15" customHeight="1" x14ac:dyDescent="0.25">
      <c r="A2" s="43" t="s">
        <v>22</v>
      </c>
      <c r="B2" s="43"/>
      <c r="C2" s="54" t="s">
        <v>290</v>
      </c>
      <c r="D2" s="8"/>
      <c r="E2" s="10"/>
      <c r="G2" s="66"/>
      <c r="L2" s="61" t="s">
        <v>668</v>
      </c>
      <c r="M2" s="70" t="s">
        <v>21</v>
      </c>
      <c r="N2" s="71"/>
      <c r="O2" s="71"/>
      <c r="P2" s="71"/>
      <c r="Q2" s="71"/>
      <c r="R2" s="71"/>
      <c r="S2" s="71"/>
      <c r="T2" s="71"/>
      <c r="U2" s="72"/>
      <c r="V2" s="75" t="s">
        <v>672</v>
      </c>
      <c r="W2" s="73"/>
      <c r="X2" s="73"/>
      <c r="Y2" s="73"/>
      <c r="Z2" s="73"/>
      <c r="AA2" s="73"/>
      <c r="AB2" s="73"/>
      <c r="AC2" s="73"/>
      <c r="AD2" s="74"/>
      <c r="AE2" s="57" t="s">
        <v>672</v>
      </c>
      <c r="AF2" s="57"/>
      <c r="AG2" s="57"/>
      <c r="AH2" s="57"/>
      <c r="AI2" s="57"/>
      <c r="AJ2" s="57"/>
      <c r="AK2" s="57"/>
      <c r="AL2" s="57"/>
    </row>
    <row r="3" spans="1:38" ht="15" customHeight="1" x14ac:dyDescent="0.25">
      <c r="A3" s="44" t="s">
        <v>31</v>
      </c>
      <c r="B3" s="44"/>
      <c r="C3" s="8" t="s">
        <v>314</v>
      </c>
      <c r="D3" s="8"/>
      <c r="E3" s="10"/>
      <c r="G3" s="66"/>
      <c r="L3" s="63" t="s">
        <v>669</v>
      </c>
      <c r="M3" s="80" t="s">
        <v>33</v>
      </c>
      <c r="N3" s="81" t="s">
        <v>34</v>
      </c>
      <c r="O3" s="81" t="s">
        <v>35</v>
      </c>
      <c r="P3" s="71" t="s">
        <v>42</v>
      </c>
      <c r="Q3" s="71" t="s">
        <v>57</v>
      </c>
      <c r="R3" s="71" t="s">
        <v>58</v>
      </c>
      <c r="S3" s="81" t="s">
        <v>63</v>
      </c>
      <c r="T3" s="71"/>
      <c r="U3" s="72"/>
      <c r="V3" s="75" t="s">
        <v>673</v>
      </c>
      <c r="W3" s="73" t="s">
        <v>674</v>
      </c>
      <c r="X3" s="73" t="s">
        <v>674</v>
      </c>
      <c r="Y3" s="73" t="s">
        <v>675</v>
      </c>
      <c r="Z3" s="73" t="s">
        <v>676</v>
      </c>
      <c r="AA3" s="73" t="s">
        <v>677</v>
      </c>
      <c r="AB3" s="73" t="s">
        <v>675</v>
      </c>
      <c r="AC3" s="73"/>
      <c r="AD3" s="74"/>
      <c r="AE3" s="57" t="s">
        <v>555</v>
      </c>
      <c r="AF3" s="57" t="s">
        <v>555</v>
      </c>
      <c r="AG3" s="57" t="s">
        <v>691</v>
      </c>
      <c r="AH3" s="57" t="s">
        <v>692</v>
      </c>
      <c r="AI3" s="57" t="s">
        <v>693</v>
      </c>
      <c r="AJ3" s="57"/>
      <c r="AK3" s="57"/>
      <c r="AL3" s="57"/>
    </row>
    <row r="4" spans="1:38" ht="15" customHeight="1" x14ac:dyDescent="0.25">
      <c r="A4" s="44" t="s">
        <v>291</v>
      </c>
      <c r="B4" s="44"/>
      <c r="C4" s="8" t="s">
        <v>315</v>
      </c>
      <c r="D4" s="8"/>
      <c r="E4" s="10"/>
      <c r="G4" s="66"/>
      <c r="L4" s="63" t="s">
        <v>670</v>
      </c>
      <c r="M4" s="80" t="s">
        <v>33</v>
      </c>
      <c r="N4" s="81" t="s">
        <v>34</v>
      </c>
      <c r="O4" s="71"/>
      <c r="P4" s="71"/>
      <c r="Q4" s="71"/>
      <c r="R4" s="71"/>
      <c r="S4" s="71"/>
      <c r="T4" s="71"/>
      <c r="U4" s="72"/>
      <c r="V4" s="75" t="s">
        <v>673</v>
      </c>
      <c r="W4" s="73" t="s">
        <v>674</v>
      </c>
      <c r="X4" s="73"/>
      <c r="Y4" s="73"/>
      <c r="Z4" s="73"/>
      <c r="AA4" s="73"/>
      <c r="AB4" s="73"/>
      <c r="AC4" s="73"/>
      <c r="AD4" s="74"/>
      <c r="AE4" s="57" t="s">
        <v>555</v>
      </c>
      <c r="AF4" s="57" t="s">
        <v>555</v>
      </c>
      <c r="AG4" s="57"/>
      <c r="AH4" s="57"/>
      <c r="AI4" s="57"/>
      <c r="AJ4" s="57"/>
      <c r="AK4" s="57"/>
      <c r="AL4" s="57"/>
    </row>
    <row r="5" spans="1:38" ht="15" customHeight="1" x14ac:dyDescent="0.25">
      <c r="A5" s="45" t="s">
        <v>292</v>
      </c>
      <c r="B5" s="45"/>
      <c r="C5" s="69" t="s">
        <v>316</v>
      </c>
      <c r="D5" s="8"/>
      <c r="E5" s="10"/>
      <c r="G5" s="66"/>
      <c r="L5" s="79" t="s">
        <v>293</v>
      </c>
      <c r="M5" s="70" t="s">
        <v>42</v>
      </c>
      <c r="N5" s="71" t="s">
        <v>52</v>
      </c>
      <c r="O5" s="71"/>
      <c r="P5" s="71"/>
      <c r="Q5" s="71"/>
      <c r="R5" s="71"/>
      <c r="S5" s="71"/>
      <c r="T5" s="71"/>
      <c r="U5" s="72"/>
      <c r="V5" s="75" t="s">
        <v>675</v>
      </c>
      <c r="W5" s="73" t="s">
        <v>675</v>
      </c>
      <c r="X5" s="73"/>
      <c r="Y5" s="73"/>
      <c r="Z5" s="73"/>
      <c r="AA5" s="73"/>
      <c r="AB5" s="73"/>
      <c r="AC5" s="73"/>
      <c r="AD5" s="74"/>
      <c r="AE5" s="78" t="s">
        <v>695</v>
      </c>
      <c r="AF5" s="57"/>
      <c r="AG5" s="57"/>
      <c r="AH5" s="57"/>
      <c r="AI5" s="57"/>
      <c r="AJ5" s="57"/>
      <c r="AK5" s="57"/>
      <c r="AL5" s="57"/>
    </row>
    <row r="6" spans="1:38" ht="15" customHeight="1" x14ac:dyDescent="0.25">
      <c r="A6" s="45" t="s">
        <v>40</v>
      </c>
      <c r="B6" s="45"/>
      <c r="C6" s="8" t="s">
        <v>293</v>
      </c>
      <c r="D6" s="8"/>
      <c r="E6" s="10"/>
      <c r="G6" s="66"/>
      <c r="L6" s="79" t="s">
        <v>297</v>
      </c>
      <c r="M6" s="70" t="s">
        <v>57</v>
      </c>
      <c r="N6" s="71"/>
      <c r="O6" s="71"/>
      <c r="P6" s="71"/>
      <c r="Q6" s="71"/>
      <c r="R6" s="71"/>
      <c r="S6" s="71"/>
      <c r="T6" s="71"/>
      <c r="U6" s="72"/>
      <c r="V6" s="75" t="s">
        <v>676</v>
      </c>
      <c r="W6" s="73"/>
      <c r="X6" s="73"/>
      <c r="Y6" s="73"/>
      <c r="Z6" s="73"/>
      <c r="AA6" s="73"/>
      <c r="AB6" s="73"/>
      <c r="AC6" s="73"/>
      <c r="AD6" s="74"/>
      <c r="AE6" s="57" t="s">
        <v>689</v>
      </c>
      <c r="AF6" s="57"/>
      <c r="AG6" s="57"/>
      <c r="AH6" s="57"/>
      <c r="AI6" s="57"/>
      <c r="AJ6" s="57"/>
      <c r="AK6" s="57"/>
      <c r="AL6" s="57"/>
    </row>
    <row r="7" spans="1:38" ht="15" customHeight="1" x14ac:dyDescent="0.25">
      <c r="A7" s="45" t="s">
        <v>51</v>
      </c>
      <c r="B7" s="45"/>
      <c r="C7" s="69" t="s">
        <v>317</v>
      </c>
      <c r="D7" s="8"/>
      <c r="E7" s="10"/>
      <c r="G7" s="66"/>
      <c r="L7" s="63" t="s">
        <v>318</v>
      </c>
      <c r="M7" s="80" t="s">
        <v>76</v>
      </c>
      <c r="N7" s="81" t="s">
        <v>98</v>
      </c>
      <c r="O7" s="81" t="s">
        <v>101</v>
      </c>
      <c r="P7" s="81" t="s">
        <v>269</v>
      </c>
      <c r="Q7" s="71"/>
      <c r="R7" s="71"/>
      <c r="S7" s="71"/>
      <c r="T7" s="71"/>
      <c r="U7" s="72"/>
      <c r="V7" s="75" t="s">
        <v>678</v>
      </c>
      <c r="W7" s="73" t="s">
        <v>679</v>
      </c>
      <c r="X7" s="73" t="s">
        <v>680</v>
      </c>
      <c r="Y7" s="73" t="s">
        <v>681</v>
      </c>
      <c r="Z7" s="73"/>
      <c r="AA7" s="73"/>
      <c r="AB7" s="73"/>
      <c r="AC7" s="73"/>
      <c r="AD7" s="74"/>
      <c r="AE7" s="57" t="s">
        <v>694</v>
      </c>
      <c r="AF7" s="57" t="s">
        <v>555</v>
      </c>
      <c r="AG7" s="57" t="s">
        <v>555</v>
      </c>
      <c r="AH7" s="57" t="s">
        <v>555</v>
      </c>
      <c r="AI7" s="57"/>
      <c r="AJ7" s="57"/>
      <c r="AK7" s="57"/>
      <c r="AL7" s="57"/>
    </row>
    <row r="8" spans="1:38" ht="15" customHeight="1" x14ac:dyDescent="0.25">
      <c r="A8" s="44" t="s">
        <v>296</v>
      </c>
      <c r="B8" s="44"/>
      <c r="C8" s="8" t="s">
        <v>297</v>
      </c>
      <c r="D8" s="8"/>
      <c r="E8" s="10"/>
      <c r="G8" s="66"/>
      <c r="L8" s="63" t="s">
        <v>671</v>
      </c>
      <c r="M8" s="80" t="s">
        <v>98</v>
      </c>
      <c r="N8" s="81" t="s">
        <v>268</v>
      </c>
      <c r="O8" s="81" t="s">
        <v>106</v>
      </c>
      <c r="P8" s="81" t="s">
        <v>269</v>
      </c>
      <c r="Q8" s="71" t="s">
        <v>273</v>
      </c>
      <c r="R8" s="81" t="s">
        <v>118</v>
      </c>
      <c r="S8" s="81" t="s">
        <v>274</v>
      </c>
      <c r="T8" s="81" t="s">
        <v>275</v>
      </c>
      <c r="U8" s="81" t="s">
        <v>122</v>
      </c>
      <c r="V8" s="76" t="s">
        <v>679</v>
      </c>
      <c r="W8" s="73" t="s">
        <v>682</v>
      </c>
      <c r="X8" s="73" t="s">
        <v>683</v>
      </c>
      <c r="Y8" s="73" t="s">
        <v>681</v>
      </c>
      <c r="Z8" s="73" t="s">
        <v>684</v>
      </c>
      <c r="AA8" s="73" t="s">
        <v>685</v>
      </c>
      <c r="AB8" s="73" t="s">
        <v>686</v>
      </c>
      <c r="AC8" s="73" t="s">
        <v>687</v>
      </c>
      <c r="AD8" s="74" t="s">
        <v>688</v>
      </c>
      <c r="AE8" s="57" t="s">
        <v>555</v>
      </c>
      <c r="AF8" s="57" t="s">
        <v>555</v>
      </c>
      <c r="AG8" s="57" t="s">
        <v>555</v>
      </c>
      <c r="AH8" s="57" t="s">
        <v>696</v>
      </c>
      <c r="AI8" s="57" t="s">
        <v>697</v>
      </c>
      <c r="AJ8" s="57" t="s">
        <v>698</v>
      </c>
      <c r="AK8" s="57" t="s">
        <v>555</v>
      </c>
      <c r="AL8" s="57" t="s">
        <v>556</v>
      </c>
    </row>
    <row r="9" spans="1:38" ht="15" customHeight="1" x14ac:dyDescent="0.25">
      <c r="A9" s="45" t="s">
        <v>73</v>
      </c>
      <c r="B9" s="45"/>
      <c r="C9" s="8" t="s">
        <v>318</v>
      </c>
      <c r="D9" s="8"/>
      <c r="E9" s="10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8" ht="15" customHeight="1" x14ac:dyDescent="0.25">
      <c r="A10" s="44" t="s">
        <v>96</v>
      </c>
      <c r="B10" s="44"/>
      <c r="C10" s="8" t="s">
        <v>319</v>
      </c>
      <c r="D10" s="8"/>
      <c r="E10" s="10"/>
    </row>
    <row r="11" spans="1:38" ht="15" customHeight="1" x14ac:dyDescent="0.25">
      <c r="A11" s="44" t="s">
        <v>90</v>
      </c>
      <c r="B11" s="44"/>
      <c r="C11" s="8" t="s">
        <v>319</v>
      </c>
      <c r="D11" s="8"/>
      <c r="E11" s="10"/>
    </row>
    <row r="12" spans="1:38" ht="15" customHeight="1" x14ac:dyDescent="0.25">
      <c r="A12" s="46" t="s">
        <v>308</v>
      </c>
      <c r="B12" s="46"/>
      <c r="C12" s="55" t="s">
        <v>319</v>
      </c>
      <c r="D12" s="8"/>
      <c r="E12" s="10"/>
    </row>
    <row r="13" spans="1:38" ht="15" customHeight="1" x14ac:dyDescent="0.25">
      <c r="A13" s="8"/>
      <c r="B13" s="10"/>
      <c r="C13" s="10"/>
      <c r="D13" s="10"/>
      <c r="E13" s="10"/>
    </row>
    <row r="14" spans="1:38" ht="15" customHeight="1" x14ac:dyDescent="0.25">
      <c r="A14" s="631" t="s">
        <v>582</v>
      </c>
      <c r="B14" s="632"/>
      <c r="C14" s="633"/>
      <c r="D14" s="53"/>
      <c r="E14" s="10"/>
    </row>
    <row r="15" spans="1:38" ht="15" customHeight="1" x14ac:dyDescent="0.25">
      <c r="A15" s="43" t="s">
        <v>26</v>
      </c>
      <c r="B15" s="43">
        <f>VLOOKUP(A15,'gevaarljike stoffen'!$V$73:$X$209,3,FALSE)</f>
        <v>121</v>
      </c>
      <c r="C15" s="43" t="s">
        <v>309</v>
      </c>
      <c r="D15" s="43">
        <f>VLOOKUP(C15,'gevaarljike stoffen'!$V$73:$X$209,3,FALSE)</f>
        <v>14</v>
      </c>
      <c r="E15" s="43"/>
      <c r="F15" s="56"/>
      <c r="G15" s="56"/>
      <c r="H15" s="57" t="e">
        <f>VLOOKUP(B15,'gevaarljike stoffen'!$AR$30:$AR$155,1,FALSE)</f>
        <v>#N/A</v>
      </c>
      <c r="J15" s="57" t="e">
        <f>VLOOKUP(D15,'gevaarljike stoffen'!$AR$30:$AR$155,1,FALSE)</f>
        <v>#N/A</v>
      </c>
      <c r="N15" s="9" t="b">
        <f>ISNUMBER(H15)</f>
        <v>0</v>
      </c>
      <c r="P15" s="9" t="b">
        <f>ISNUMBER(J15)</f>
        <v>0</v>
      </c>
      <c r="U15" s="9">
        <f t="shared" ref="U15:U24" si="0">B15</f>
        <v>121</v>
      </c>
      <c r="V15" s="254" t="b">
        <f>AND(N15,P15)</f>
        <v>0</v>
      </c>
      <c r="W15" s="10"/>
    </row>
    <row r="16" spans="1:38" ht="15" customHeight="1" x14ac:dyDescent="0.25">
      <c r="A16" s="44" t="s">
        <v>40</v>
      </c>
      <c r="B16" s="44">
        <f>VLOOKUP(A16,'gevaarljike stoffen'!$V$73:$X$209,3,FALSE)</f>
        <v>3</v>
      </c>
      <c r="C16" s="44" t="s">
        <v>16</v>
      </c>
      <c r="D16" s="44">
        <f>VLOOKUP(C16,'gevaarljike stoffen'!$V$73:$X$209,3,FALSE)</f>
        <v>129</v>
      </c>
      <c r="E16" s="44"/>
      <c r="F16" s="58"/>
      <c r="G16" s="58"/>
      <c r="H16" s="57" t="e">
        <f>VLOOKUP(B16,'gevaarljike stoffen'!$AR$30:$AR$155,1,FALSE)</f>
        <v>#N/A</v>
      </c>
      <c r="J16" s="57" t="e">
        <f>VLOOKUP(D16,'gevaarljike stoffen'!$AR$30:$AR$155,1,FALSE)</f>
        <v>#N/A</v>
      </c>
      <c r="N16" s="9" t="b">
        <f>ISNUMBER(H16)</f>
        <v>0</v>
      </c>
      <c r="P16" s="9" t="b">
        <f t="shared" ref="P16:P22" si="1">ISNUMBER(J16)</f>
        <v>0</v>
      </c>
      <c r="U16" s="9">
        <f t="shared" si="0"/>
        <v>3</v>
      </c>
      <c r="V16" s="255" t="b">
        <f t="shared" ref="V16:V22" si="2">AND(N16,P16)</f>
        <v>0</v>
      </c>
      <c r="W16" s="10"/>
    </row>
    <row r="17" spans="1:23" ht="15" customHeight="1" x14ac:dyDescent="0.25">
      <c r="A17" s="45" t="s">
        <v>56</v>
      </c>
      <c r="B17" s="44">
        <f>VLOOKUP(A17,'gevaarljike stoffen'!$V$73:$X$209,3,FALSE)</f>
        <v>18</v>
      </c>
      <c r="C17" s="45" t="s">
        <v>313</v>
      </c>
      <c r="D17" s="44">
        <f>VLOOKUP(C17,'gevaarljike stoffen'!$V$73:$X$209,3,FALSE)</f>
        <v>124</v>
      </c>
      <c r="E17" s="44"/>
      <c r="F17" s="58"/>
      <c r="G17" s="58"/>
      <c r="H17" s="57" t="e">
        <f>VLOOKUP(B17,'gevaarljike stoffen'!$AR$30:$AR$155,1,FALSE)</f>
        <v>#N/A</v>
      </c>
      <c r="J17" s="57" t="e">
        <f>VLOOKUP(D17,'gevaarljike stoffen'!$AR$30:$AR$155,1,FALSE)</f>
        <v>#N/A</v>
      </c>
      <c r="N17" s="9" t="b">
        <f t="shared" ref="N17:N31" si="3">ISNUMBER(H17)</f>
        <v>0</v>
      </c>
      <c r="P17" s="9" t="b">
        <f t="shared" si="1"/>
        <v>0</v>
      </c>
      <c r="U17" s="9">
        <f t="shared" si="0"/>
        <v>18</v>
      </c>
      <c r="V17" s="255" t="b">
        <f t="shared" si="2"/>
        <v>0</v>
      </c>
      <c r="W17" s="10"/>
    </row>
    <row r="18" spans="1:23" ht="15" customHeight="1" x14ac:dyDescent="0.25">
      <c r="A18" s="44" t="s">
        <v>70</v>
      </c>
      <c r="B18" s="44">
        <f>VLOOKUP(A18,'gevaarljike stoffen'!$V$73:$X$209,3,FALSE)</f>
        <v>106</v>
      </c>
      <c r="C18" s="44" t="s">
        <v>6</v>
      </c>
      <c r="D18" s="44">
        <f>VLOOKUP(C18,'gevaarljike stoffen'!$V$73:$X$209,3,FALSE)</f>
        <v>101</v>
      </c>
      <c r="E18" s="44"/>
      <c r="F18" s="58"/>
      <c r="G18" s="58"/>
      <c r="H18" s="57" t="e">
        <f>VLOOKUP(B18,'gevaarljike stoffen'!$AR$30:$AR$155,1,FALSE)</f>
        <v>#N/A</v>
      </c>
      <c r="J18" s="57" t="e">
        <f>VLOOKUP(D18,'gevaarljike stoffen'!$AR$30:$AR$155,1,FALSE)</f>
        <v>#N/A</v>
      </c>
      <c r="N18" s="9" t="b">
        <f t="shared" si="3"/>
        <v>0</v>
      </c>
      <c r="P18" s="9" t="b">
        <f>ISNUMBER(J18)</f>
        <v>0</v>
      </c>
      <c r="U18" s="9">
        <f t="shared" si="0"/>
        <v>106</v>
      </c>
      <c r="V18" s="255" t="b">
        <f>AND(N18,P18)</f>
        <v>0</v>
      </c>
      <c r="W18" s="10"/>
    </row>
    <row r="19" spans="1:23" ht="15" customHeight="1" x14ac:dyDescent="0.25">
      <c r="A19" s="44" t="s">
        <v>88</v>
      </c>
      <c r="B19" s="44">
        <f>VLOOKUP(A19,'gevaarljike stoffen'!$V$73:$X$209,3,FALSE)</f>
        <v>70</v>
      </c>
      <c r="C19" s="44" t="s">
        <v>301</v>
      </c>
      <c r="D19" s="44">
        <v>72</v>
      </c>
      <c r="E19" s="44">
        <v>71</v>
      </c>
      <c r="F19" s="58">
        <v>69</v>
      </c>
      <c r="G19" s="58"/>
      <c r="H19" s="57" t="e">
        <f>VLOOKUP(B19,'gevaarljike stoffen'!$AR$30:$AR$155,1,FALSE)</f>
        <v>#N/A</v>
      </c>
      <c r="J19" s="57" t="e">
        <f>VLOOKUP(D19,'gevaarljike stoffen'!$AR$30:$AR$155,1,FALSE)</f>
        <v>#N/A</v>
      </c>
      <c r="K19" s="57" t="e">
        <f>VLOOKUP(E19,'gevaarljike stoffen'!$AR$30:$AR$155,1,FALSE)</f>
        <v>#N/A</v>
      </c>
      <c r="L19" s="57" t="e">
        <f>VLOOKUP(F19,'gevaarljike stoffen'!$AR$30:$AR$155,1,FALSE)</f>
        <v>#N/A</v>
      </c>
      <c r="N19" s="9" t="b">
        <f t="shared" si="3"/>
        <v>0</v>
      </c>
      <c r="P19" s="9" t="b">
        <f>OR(Q19:S19)</f>
        <v>0</v>
      </c>
      <c r="Q19" s="9" t="b">
        <f>ISNUMBER(J19)</f>
        <v>0</v>
      </c>
      <c r="R19" s="9" t="b">
        <f>ISNUMBER(K19)</f>
        <v>0</v>
      </c>
      <c r="S19" s="9" t="b">
        <f>ISNUMBER(L19)</f>
        <v>0</v>
      </c>
      <c r="U19" s="9">
        <f t="shared" si="0"/>
        <v>70</v>
      </c>
      <c r="V19" s="255" t="b">
        <f t="shared" si="2"/>
        <v>0</v>
      </c>
      <c r="W19" s="10"/>
    </row>
    <row r="20" spans="1:23" ht="15" customHeight="1" x14ac:dyDescent="0.25">
      <c r="A20" s="44" t="s">
        <v>96</v>
      </c>
      <c r="B20" s="44">
        <f>VLOOKUP(A20,'gevaarljike stoffen'!$V$73:$X$209,3,FALSE)</f>
        <v>109</v>
      </c>
      <c r="C20" s="44" t="s">
        <v>90</v>
      </c>
      <c r="D20" s="44">
        <f>VLOOKUP(C20,'gevaarljike stoffen'!$V$73:$X$209,3,FALSE)</f>
        <v>110</v>
      </c>
      <c r="E20" s="44"/>
      <c r="F20" s="58"/>
      <c r="G20" s="58"/>
      <c r="H20" s="57" t="e">
        <f>VLOOKUP(B20,'gevaarljike stoffen'!$AR$30:$AR$155,1,FALSE)</f>
        <v>#N/A</v>
      </c>
      <c r="J20" s="57" t="e">
        <f>VLOOKUP(D20,'gevaarljike stoffen'!$AR$30:$AR$155,1,FALSE)</f>
        <v>#N/A</v>
      </c>
      <c r="N20" s="9" t="b">
        <f t="shared" si="3"/>
        <v>0</v>
      </c>
      <c r="P20" s="9" t="b">
        <f t="shared" si="1"/>
        <v>0</v>
      </c>
      <c r="U20" s="9">
        <f t="shared" si="0"/>
        <v>109</v>
      </c>
      <c r="V20" s="255" t="b">
        <f t="shared" si="2"/>
        <v>0</v>
      </c>
      <c r="W20" s="10"/>
    </row>
    <row r="21" spans="1:23" ht="15" customHeight="1" x14ac:dyDescent="0.25">
      <c r="A21" s="45" t="s">
        <v>107</v>
      </c>
      <c r="B21" s="44">
        <f>VLOOKUP(A21,'gevaarljike stoffen'!$V$73:$X$209,3,FALSE)</f>
        <v>96</v>
      </c>
      <c r="C21" s="44" t="s">
        <v>92</v>
      </c>
      <c r="D21" s="44">
        <f>VLOOKUP(C21,'gevaarljike stoffen'!$V$73:$X$209,3,FALSE)</f>
        <v>97</v>
      </c>
      <c r="E21" s="44"/>
      <c r="F21" s="58"/>
      <c r="G21" s="58"/>
      <c r="H21" s="57" t="e">
        <f>VLOOKUP(B21,'gevaarljike stoffen'!$AR$30:$AR$155,1,FALSE)</f>
        <v>#N/A</v>
      </c>
      <c r="J21" s="57" t="e">
        <f>VLOOKUP(D21,'gevaarljike stoffen'!$AR$30:$AR$155,1,FALSE)</f>
        <v>#N/A</v>
      </c>
      <c r="N21" s="9" t="b">
        <f t="shared" si="3"/>
        <v>0</v>
      </c>
      <c r="P21" s="9" t="b">
        <f t="shared" si="1"/>
        <v>0</v>
      </c>
      <c r="U21" s="9">
        <f t="shared" si="0"/>
        <v>96</v>
      </c>
      <c r="V21" s="255" t="b">
        <f t="shared" si="2"/>
        <v>0</v>
      </c>
      <c r="W21" s="10"/>
    </row>
    <row r="22" spans="1:23" ht="15" customHeight="1" x14ac:dyDescent="0.25">
      <c r="A22" s="45" t="s">
        <v>108</v>
      </c>
      <c r="B22" s="44">
        <f>VLOOKUP(A22,'gevaarljike stoffen'!$V$73:$X$209,3,FALSE)</f>
        <v>83</v>
      </c>
      <c r="C22" s="45" t="s">
        <v>93</v>
      </c>
      <c r="D22" s="44">
        <f>VLOOKUP(C22,'gevaarljike stoffen'!$V$73:$X$209,3,FALSE)</f>
        <v>84</v>
      </c>
      <c r="E22" s="44"/>
      <c r="F22" s="58"/>
      <c r="G22" s="58"/>
      <c r="H22" s="57" t="e">
        <f>VLOOKUP(B22,'gevaarljike stoffen'!$AR$30:$AR$155,1,FALSE)</f>
        <v>#N/A</v>
      </c>
      <c r="J22" s="57" t="e">
        <f>VLOOKUP(D22,'gevaarljike stoffen'!$AR$30:$AR$155,1,FALSE)</f>
        <v>#N/A</v>
      </c>
      <c r="N22" s="9" t="b">
        <f t="shared" si="3"/>
        <v>0</v>
      </c>
      <c r="P22" s="9" t="b">
        <f t="shared" si="1"/>
        <v>0</v>
      </c>
      <c r="U22" s="9">
        <f t="shared" si="0"/>
        <v>83</v>
      </c>
      <c r="V22" s="255" t="b">
        <f t="shared" si="2"/>
        <v>0</v>
      </c>
      <c r="W22" s="10"/>
    </row>
    <row r="23" spans="1:23" ht="15" customHeight="1" x14ac:dyDescent="0.25">
      <c r="A23" s="44" t="s">
        <v>95</v>
      </c>
      <c r="B23" s="44">
        <f>VLOOKUP(A23,'gevaarljike stoffen'!$V$73:$X$209,3,FALSE)</f>
        <v>16</v>
      </c>
      <c r="C23" s="44" t="s">
        <v>309</v>
      </c>
      <c r="D23" s="44">
        <f>VLOOKUP(C23,'gevaarljike stoffen'!$V$73:$X$209,3,FALSE)</f>
        <v>14</v>
      </c>
      <c r="E23" s="44"/>
      <c r="F23" s="58"/>
      <c r="G23" s="58"/>
      <c r="H23" s="57" t="e">
        <f>VLOOKUP(B23,'gevaarljike stoffen'!$AR$30:$AR$155,1,FALSE)</f>
        <v>#N/A</v>
      </c>
      <c r="J23" s="57" t="e">
        <f>VLOOKUP(D23,'gevaarljike stoffen'!$AR$30:$AR$155,1,FALSE)</f>
        <v>#N/A</v>
      </c>
      <c r="N23" s="9" t="b">
        <f t="shared" si="3"/>
        <v>0</v>
      </c>
      <c r="P23" s="9" t="b">
        <f>ISNUMBER(J23)</f>
        <v>0</v>
      </c>
      <c r="U23" s="9">
        <f t="shared" si="0"/>
        <v>16</v>
      </c>
      <c r="V23" s="255" t="b">
        <f>AND(N23,P23)</f>
        <v>0</v>
      </c>
      <c r="W23" s="10"/>
    </row>
    <row r="24" spans="1:23" ht="15" customHeight="1" x14ac:dyDescent="0.25">
      <c r="A24" s="44" t="s">
        <v>121</v>
      </c>
      <c r="B24" s="44">
        <f>VLOOKUP(A24,'gevaarljike stoffen'!$V$73:$X$209,3,FALSE)</f>
        <v>68</v>
      </c>
      <c r="C24" s="44" t="s">
        <v>311</v>
      </c>
      <c r="D24" s="44">
        <v>72</v>
      </c>
      <c r="E24" s="44">
        <v>71</v>
      </c>
      <c r="F24" s="58">
        <v>70</v>
      </c>
      <c r="G24" s="58">
        <v>79</v>
      </c>
      <c r="H24" s="57" t="e">
        <f>VLOOKUP(B24,'gevaarljike stoffen'!$AR$30:$AR$155,1,FALSE)</f>
        <v>#N/A</v>
      </c>
      <c r="J24" s="57" t="e">
        <f>VLOOKUP(D24,'gevaarljike stoffen'!$AR$30:$AR$155,1,FALSE)</f>
        <v>#N/A</v>
      </c>
      <c r="K24" s="57" t="e">
        <f>VLOOKUP(E24,'gevaarljike stoffen'!$AR$30:$AR$155,1,FALSE)</f>
        <v>#N/A</v>
      </c>
      <c r="L24" s="57" t="e">
        <f>VLOOKUP(F24,'gevaarljike stoffen'!$AR$30:$AR$155,1,FALSE)</f>
        <v>#N/A</v>
      </c>
      <c r="M24" s="57" t="e">
        <f>VLOOKUP(G24,'gevaarljike stoffen'!$AR$30:$AR$155,1,FALSE)</f>
        <v>#N/A</v>
      </c>
      <c r="N24" s="9" t="b">
        <f t="shared" si="3"/>
        <v>0</v>
      </c>
      <c r="P24" s="9" t="b">
        <f>OR(Q24:T24)</f>
        <v>0</v>
      </c>
      <c r="Q24" s="9" t="b">
        <f>ISNUMBER(J24)</f>
        <v>0</v>
      </c>
      <c r="R24" s="9" t="b">
        <f>ISNUMBER(K24)</f>
        <v>0</v>
      </c>
      <c r="S24" s="9" t="b">
        <f>ISNUMBER(L24)</f>
        <v>0</v>
      </c>
      <c r="T24" s="9" t="b">
        <f>ISNUMBER(M24)</f>
        <v>0</v>
      </c>
      <c r="U24" s="9">
        <f t="shared" si="0"/>
        <v>68</v>
      </c>
      <c r="V24" s="255" t="b">
        <f>AND(N24,P24)</f>
        <v>0</v>
      </c>
      <c r="W24" s="10"/>
    </row>
    <row r="25" spans="1:23" ht="15" customHeight="1" x14ac:dyDescent="0.25">
      <c r="A25" s="58" t="s">
        <v>85</v>
      </c>
      <c r="B25" s="44">
        <f>VLOOKUP(A25,'gevaarljike stoffen'!$V$73:$X$209,3,FALSE)</f>
        <v>39</v>
      </c>
      <c r="C25" s="58" t="s">
        <v>102</v>
      </c>
      <c r="D25" s="44">
        <f>VLOOKUP(C25,'gevaarljike stoffen'!$V$73:$X$209,3,FALSE)</f>
        <v>40</v>
      </c>
      <c r="E25" s="255"/>
      <c r="F25" s="255"/>
      <c r="G25" s="255"/>
      <c r="H25" s="57" t="e">
        <f>VLOOKUP(B25,'gevaarljike stoffen'!$AR$30:$AR$155,1,FALSE)</f>
        <v>#N/A</v>
      </c>
      <c r="J25" s="57" t="e">
        <f>VLOOKUP(D25,'gevaarljike stoffen'!$AR$30:$AR$155,1,FALSE)</f>
        <v>#N/A</v>
      </c>
      <c r="N25" s="9" t="b">
        <f t="shared" si="3"/>
        <v>0</v>
      </c>
      <c r="P25" s="9" t="b">
        <f>ISNUMBER(J25)</f>
        <v>0</v>
      </c>
      <c r="U25" s="9">
        <f>B25</f>
        <v>39</v>
      </c>
      <c r="V25" s="255" t="b">
        <f t="shared" ref="V25:V31" si="4">AND(N25,P25)</f>
        <v>0</v>
      </c>
    </row>
    <row r="26" spans="1:23" ht="15" customHeight="1" x14ac:dyDescent="0.25">
      <c r="A26" s="58" t="s">
        <v>467</v>
      </c>
      <c r="B26" s="44">
        <f>VLOOKUP(A26,'gevaarljike stoffen'!$V$73:$X$209,3,FALSE)</f>
        <v>60</v>
      </c>
      <c r="C26" s="58" t="s">
        <v>110</v>
      </c>
      <c r="D26" s="44">
        <f>VLOOKUP(C26,'gevaarljike stoffen'!$V$73:$X$209,3,FALSE)</f>
        <v>58</v>
      </c>
      <c r="E26" s="255"/>
      <c r="F26" s="255"/>
      <c r="G26" s="255"/>
      <c r="H26" s="57" t="e">
        <f>VLOOKUP(B26,'gevaarljike stoffen'!$AR$30:$AR$155,1,FALSE)</f>
        <v>#N/A</v>
      </c>
      <c r="J26" s="57" t="e">
        <f>VLOOKUP(D26,'gevaarljike stoffen'!$AR$30:$AR$155,1,FALSE)</f>
        <v>#N/A</v>
      </c>
      <c r="N26" s="9" t="b">
        <f t="shared" si="3"/>
        <v>0</v>
      </c>
      <c r="P26" s="9" t="b">
        <f t="shared" ref="P26:P31" si="5">ISNUMBER(J26)</f>
        <v>0</v>
      </c>
      <c r="U26" s="9">
        <f t="shared" ref="U26:U31" si="6">B26</f>
        <v>60</v>
      </c>
      <c r="V26" s="255" t="b">
        <f>AND(N26,P26)</f>
        <v>0</v>
      </c>
    </row>
    <row r="27" spans="1:23" ht="15" customHeight="1" x14ac:dyDescent="0.25">
      <c r="A27" s="58" t="s">
        <v>313</v>
      </c>
      <c r="B27" s="44">
        <f>VLOOKUP(A27,'gevaarljike stoffen'!$V$73:$X$209,3,FALSE)</f>
        <v>124</v>
      </c>
      <c r="C27" s="58" t="s">
        <v>55</v>
      </c>
      <c r="D27" s="44">
        <f>VLOOKUP(C27,'gevaarljike stoffen'!$V$73:$X$209,3,FALSE)</f>
        <v>123</v>
      </c>
      <c r="E27" s="255"/>
      <c r="F27" s="255"/>
      <c r="G27" s="255"/>
      <c r="H27" s="57" t="e">
        <f>VLOOKUP(B27,'gevaarljike stoffen'!$AR$30:$AR$155,1,FALSE)</f>
        <v>#N/A</v>
      </c>
      <c r="J27" s="57" t="e">
        <f>VLOOKUP(D27,'gevaarljike stoffen'!$AR$30:$AR$155,1,FALSE)</f>
        <v>#N/A</v>
      </c>
      <c r="N27" s="9" t="b">
        <f t="shared" si="3"/>
        <v>0</v>
      </c>
      <c r="P27" s="9" t="b">
        <f t="shared" si="5"/>
        <v>0</v>
      </c>
      <c r="U27" s="9">
        <f t="shared" si="6"/>
        <v>124</v>
      </c>
      <c r="V27" s="255" t="b">
        <f t="shared" si="4"/>
        <v>0</v>
      </c>
    </row>
    <row r="28" spans="1:23" ht="15" customHeight="1" x14ac:dyDescent="0.25">
      <c r="A28" s="58" t="s">
        <v>391</v>
      </c>
      <c r="B28" s="44">
        <f>VLOOKUP(A28,'gevaarljike stoffen'!$V$73:$X$209,3,FALSE)</f>
        <v>122</v>
      </c>
      <c r="C28" s="58" t="s">
        <v>55</v>
      </c>
      <c r="D28" s="44">
        <f>VLOOKUP(C28,'gevaarljike stoffen'!$V$73:$X$209,3,FALSE)</f>
        <v>123</v>
      </c>
      <c r="E28" s="255"/>
      <c r="F28" s="255"/>
      <c r="G28" s="255"/>
      <c r="H28" s="57" t="e">
        <f>VLOOKUP(B28,'gevaarljike stoffen'!$AR$30:$AR$155,1,FALSE)</f>
        <v>#N/A</v>
      </c>
      <c r="J28" s="57" t="e">
        <f>VLOOKUP(D28,'gevaarljike stoffen'!$AR$30:$AR$155,1,FALSE)</f>
        <v>#N/A</v>
      </c>
      <c r="N28" s="9" t="b">
        <f t="shared" si="3"/>
        <v>0</v>
      </c>
      <c r="P28" s="9" t="b">
        <f t="shared" si="5"/>
        <v>0</v>
      </c>
      <c r="U28" s="9">
        <f t="shared" si="6"/>
        <v>122</v>
      </c>
      <c r="V28" s="255" t="b">
        <f t="shared" si="4"/>
        <v>0</v>
      </c>
    </row>
    <row r="29" spans="1:23" ht="15" customHeight="1" x14ac:dyDescent="0.25">
      <c r="A29" s="58" t="s">
        <v>395</v>
      </c>
      <c r="B29" s="44">
        <f>VLOOKUP(A29,'gevaarljike stoffen'!$V$73:$X$209,3,FALSE)</f>
        <v>119</v>
      </c>
      <c r="C29" s="58" t="s">
        <v>49</v>
      </c>
      <c r="D29" s="44">
        <f>VLOOKUP(C29,'gevaarljike stoffen'!$V$73:$X$209,3,FALSE)</f>
        <v>118</v>
      </c>
      <c r="E29" s="255"/>
      <c r="F29" s="255"/>
      <c r="G29" s="255"/>
      <c r="H29" s="57" t="e">
        <f>VLOOKUP(B29,'gevaarljike stoffen'!$AR$30:$AR$155,1,FALSE)</f>
        <v>#N/A</v>
      </c>
      <c r="J29" s="57" t="e">
        <f>VLOOKUP(D29,'gevaarljike stoffen'!$AR$30:$AR$155,1,FALSE)</f>
        <v>#N/A</v>
      </c>
      <c r="N29" s="9" t="b">
        <f t="shared" si="3"/>
        <v>0</v>
      </c>
      <c r="P29" s="9" t="b">
        <f t="shared" si="5"/>
        <v>0</v>
      </c>
      <c r="U29" s="9">
        <f t="shared" si="6"/>
        <v>119</v>
      </c>
      <c r="V29" s="255" t="b">
        <f t="shared" si="4"/>
        <v>0</v>
      </c>
    </row>
    <row r="30" spans="1:23" ht="15" customHeight="1" x14ac:dyDescent="0.25">
      <c r="A30" s="58" t="s">
        <v>65</v>
      </c>
      <c r="B30" s="44">
        <f>VLOOKUP(A30,'gevaarljike stoffen'!$V$73:$X$209,3,FALSE)</f>
        <v>10</v>
      </c>
      <c r="C30" s="58" t="s">
        <v>49</v>
      </c>
      <c r="D30" s="44">
        <f>VLOOKUP(C30,'gevaarljike stoffen'!$V$73:$X$209,3,FALSE)</f>
        <v>118</v>
      </c>
      <c r="E30" s="255"/>
      <c r="F30" s="255"/>
      <c r="G30" s="255"/>
      <c r="H30" s="57" t="e">
        <f>VLOOKUP(B30,'gevaarljike stoffen'!$AR$30:$AR$155,1,FALSE)</f>
        <v>#N/A</v>
      </c>
      <c r="J30" s="57" t="e">
        <f>VLOOKUP(D30,'gevaarljike stoffen'!$AR$30:$AR$155,1,FALSE)</f>
        <v>#N/A</v>
      </c>
      <c r="N30" s="9" t="b">
        <f t="shared" si="3"/>
        <v>0</v>
      </c>
      <c r="P30" s="9" t="b">
        <f t="shared" si="5"/>
        <v>0</v>
      </c>
      <c r="U30" s="9">
        <f t="shared" si="6"/>
        <v>10</v>
      </c>
      <c r="V30" s="255" t="b">
        <f t="shared" si="4"/>
        <v>0</v>
      </c>
    </row>
    <row r="31" spans="1:23" ht="15" customHeight="1" x14ac:dyDescent="0.25">
      <c r="A31" s="58" t="s">
        <v>78</v>
      </c>
      <c r="B31" s="44">
        <f>VLOOKUP(A31,'gevaarljike stoffen'!$V$73:$X$209,3,FALSE)</f>
        <v>93</v>
      </c>
      <c r="C31" s="58" t="s">
        <v>72</v>
      </c>
      <c r="D31" s="44">
        <f>VLOOKUP(C31,'gevaarljike stoffen'!$V$73:$X$209,3,FALSE)</f>
        <v>94</v>
      </c>
      <c r="E31" s="255"/>
      <c r="F31" s="255"/>
      <c r="G31" s="255"/>
      <c r="H31" s="57" t="e">
        <f>VLOOKUP(B31,'gevaarljike stoffen'!$AR$30:$AR$155,1,FALSE)</f>
        <v>#N/A</v>
      </c>
      <c r="J31" s="57" t="e">
        <f>VLOOKUP(D31,'gevaarljike stoffen'!$AR$30:$AR$155,1,FALSE)</f>
        <v>#N/A</v>
      </c>
      <c r="N31" s="9" t="b">
        <f t="shared" si="3"/>
        <v>0</v>
      </c>
      <c r="P31" s="9" t="b">
        <f t="shared" si="5"/>
        <v>0</v>
      </c>
      <c r="U31" s="9">
        <f t="shared" si="6"/>
        <v>93</v>
      </c>
      <c r="V31" s="255" t="b">
        <f t="shared" si="4"/>
        <v>0</v>
      </c>
    </row>
    <row r="32" spans="1:23" ht="15" customHeight="1" x14ac:dyDescent="0.25">
      <c r="A32" s="59" t="s">
        <v>126</v>
      </c>
      <c r="B32" s="46">
        <f>VLOOKUP(A32,'gevaarljike stoffen'!$V$73:$X$209,3,FALSE)</f>
        <v>102</v>
      </c>
      <c r="C32" s="59" t="s">
        <v>127</v>
      </c>
      <c r="D32" s="46">
        <f>VLOOKUP(C32,'gevaarljike stoffen'!$V$73:$X$209,3,FALSE)</f>
        <v>21</v>
      </c>
      <c r="E32" s="256"/>
      <c r="F32" s="256"/>
      <c r="G32" s="256"/>
      <c r="H32" s="57" t="e">
        <f>VLOOKUP(B32,'gevaarljike stoffen'!$AR$30:$AR$155,1,FALSE)</f>
        <v>#N/A</v>
      </c>
      <c r="J32" s="57" t="e">
        <f>VLOOKUP(D32,'gevaarljike stoffen'!$AR$30:$AR$155,1,FALSE)</f>
        <v>#N/A</v>
      </c>
      <c r="N32" s="9" t="b">
        <f>ISNUMBER(H32)</f>
        <v>0</v>
      </c>
      <c r="P32" s="9" t="b">
        <f>ISNUMBER(J32)</f>
        <v>0</v>
      </c>
      <c r="U32" s="9">
        <f>B32</f>
        <v>102</v>
      </c>
      <c r="V32" s="256" t="b">
        <f>AND(N32,P32)</f>
        <v>0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</sheetData>
  <mergeCells count="1">
    <mergeCell ref="A14:C14"/>
  </mergeCells>
  <conditionalFormatting sqref="L2:L8 G2:G8">
    <cfRule type="cellIs" dxfId="13" priority="2" operator="equal">
      <formula>0</formula>
    </cfRule>
  </conditionalFormatting>
  <conditionalFormatting sqref="M2:U8 V2:V7">
    <cfRule type="cellIs" dxfId="1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W59"/>
  <sheetViews>
    <sheetView zoomScaleNormal="100" workbookViewId="0">
      <selection activeCell="D21" sqref="D21"/>
    </sheetView>
  </sheetViews>
  <sheetFormatPr defaultRowHeight="15" x14ac:dyDescent="0.25"/>
  <cols>
    <col min="1" max="2" width="9.140625" style="1" customWidth="1"/>
    <col min="3" max="3" width="6.5703125" style="1" customWidth="1"/>
    <col min="4" max="5" width="9.140625" style="1" customWidth="1"/>
    <col min="6" max="6" width="9.42578125" style="1" bestFit="1" customWidth="1"/>
    <col min="7" max="7" width="6.5703125" style="1" customWidth="1"/>
    <col min="8" max="8" width="10.140625" style="1" bestFit="1" customWidth="1"/>
    <col min="9" max="9" width="6.5703125" style="1" customWidth="1"/>
    <col min="10" max="13" width="9.140625" style="1"/>
    <col min="14" max="14" width="90.28515625" style="1" bestFit="1" customWidth="1"/>
    <col min="15" max="15" width="9.140625" style="1"/>
    <col min="16" max="16" width="9.42578125" style="1" bestFit="1" customWidth="1"/>
    <col min="17" max="17" width="9.140625" style="1"/>
    <col min="18" max="19" width="9.42578125" style="1" bestFit="1" customWidth="1"/>
    <col min="20" max="20" width="9.140625" style="1" customWidth="1"/>
    <col min="21" max="23" width="9.42578125" style="1" bestFit="1" customWidth="1"/>
    <col min="24" max="16384" width="9.140625" style="1"/>
  </cols>
  <sheetData>
    <row r="1" spans="1:23" x14ac:dyDescent="0.25">
      <c r="A1" s="634" t="s">
        <v>575</v>
      </c>
      <c r="B1" s="635"/>
      <c r="C1" s="42" t="s">
        <v>278</v>
      </c>
      <c r="D1" s="42" t="s">
        <v>279</v>
      </c>
      <c r="E1" s="42" t="s">
        <v>280</v>
      </c>
      <c r="F1" s="42" t="s">
        <v>281</v>
      </c>
      <c r="G1" s="42" t="s">
        <v>282</v>
      </c>
      <c r="H1" s="42" t="s">
        <v>283</v>
      </c>
      <c r="I1" s="42" t="s">
        <v>284</v>
      </c>
      <c r="J1" s="42" t="s">
        <v>285</v>
      </c>
      <c r="K1" s="42" t="s">
        <v>286</v>
      </c>
      <c r="L1" s="42" t="s">
        <v>573</v>
      </c>
    </row>
    <row r="2" spans="1:23" x14ac:dyDescent="0.25">
      <c r="A2" s="3">
        <f>'gevaarljike stoffen'!B4</f>
        <v>0</v>
      </c>
      <c r="B2" s="37">
        <f>IF('gevaarljike stoffen'!B4=0,0,VLOOKUP('gevaarljike stoffen'!B4,Scheme!$E$3:$F$103,2,FALSE))</f>
        <v>0</v>
      </c>
      <c r="C2" s="11" t="e">
        <f>MATCH("GHS01",$B$2:$B$7,0)</f>
        <v>#N/A</v>
      </c>
      <c r="D2" s="11" t="e">
        <f>MATCH("GHS02",$B$2:$B$7,0)</f>
        <v>#N/A</v>
      </c>
      <c r="E2" s="11" t="e">
        <f>MATCH("GHS03",$B$2:$B$7,0)</f>
        <v>#N/A</v>
      </c>
      <c r="F2" s="11" t="e">
        <f>MATCH("GHS04",$B$2:$B$7,0)</f>
        <v>#N/A</v>
      </c>
      <c r="G2" s="11" t="e">
        <f>MATCH("GHS05",$B$2:$B$7,0)</f>
        <v>#N/A</v>
      </c>
      <c r="H2" s="11" t="e">
        <f>MATCH("GHS06",$B$2:$B$7,0)</f>
        <v>#N/A</v>
      </c>
      <c r="I2" s="11" t="e">
        <f>MATCH("GHS07",$B$2:$B$7,0)</f>
        <v>#N/A</v>
      </c>
      <c r="J2" s="11" t="e">
        <f>MATCH("GHS08",$B$2:$B$7,0)</f>
        <v>#N/A</v>
      </c>
      <c r="K2" s="11" t="e">
        <f>MATCH("GHS09",$B$2:$B$7,0)</f>
        <v>#N/A</v>
      </c>
      <c r="L2" s="37"/>
    </row>
    <row r="3" spans="1:23" x14ac:dyDescent="0.25">
      <c r="A3" s="3">
        <f>'gevaarljike stoffen'!B5</f>
        <v>0</v>
      </c>
      <c r="B3" s="11">
        <f>IF('gevaarljike stoffen'!B5=0,0,VLOOKUP('gevaarljike stoffen'!B5,Scheme!$E$3:$F$103,2,FALSE))</f>
        <v>0</v>
      </c>
      <c r="C3" s="11" t="b">
        <f>ISNUMBER(C2)</f>
        <v>0</v>
      </c>
      <c r="D3" s="11" t="b">
        <f t="shared" ref="D3:K3" si="0">ISNUMBER(D2)</f>
        <v>0</v>
      </c>
      <c r="E3" s="11" t="b">
        <f t="shared" si="0"/>
        <v>0</v>
      </c>
      <c r="F3" s="11" t="b">
        <f t="shared" si="0"/>
        <v>0</v>
      </c>
      <c r="G3" s="11" t="b">
        <f t="shared" si="0"/>
        <v>0</v>
      </c>
      <c r="H3" s="11" t="b">
        <f t="shared" si="0"/>
        <v>0</v>
      </c>
      <c r="I3" s="11" t="b">
        <f t="shared" si="0"/>
        <v>0</v>
      </c>
      <c r="J3" s="11" t="b">
        <f t="shared" si="0"/>
        <v>0</v>
      </c>
      <c r="K3" s="11" t="b">
        <f t="shared" si="0"/>
        <v>0</v>
      </c>
      <c r="L3" s="11"/>
      <c r="N3" s="42" t="s">
        <v>579</v>
      </c>
    </row>
    <row r="4" spans="1:23" x14ac:dyDescent="0.25">
      <c r="A4" s="3">
        <f>'gevaarljike stoffen'!B6</f>
        <v>0</v>
      </c>
      <c r="B4" s="11">
        <f>IF('gevaarljike stoffen'!B6=0,0,VLOOKUP('gevaarljike stoffen'!B6,Scheme!$E$3:$F$103,2,FALSE))</f>
        <v>0</v>
      </c>
      <c r="C4" s="26"/>
      <c r="D4" s="26" t="b">
        <f>IF(C3,FALSE,D3)</f>
        <v>0</v>
      </c>
      <c r="E4" s="26" t="b">
        <f>IF(C3,FALSE,E3)</f>
        <v>0</v>
      </c>
      <c r="F4" s="26"/>
      <c r="G4" s="26"/>
      <c r="H4" s="26"/>
      <c r="I4" s="26"/>
      <c r="J4" s="26"/>
      <c r="K4" s="26"/>
      <c r="L4" s="26"/>
      <c r="M4" s="24"/>
      <c r="N4" s="25" t="s">
        <v>565</v>
      </c>
      <c r="O4" t="s">
        <v>41</v>
      </c>
    </row>
    <row r="5" spans="1:23" x14ac:dyDescent="0.25">
      <c r="A5" s="3">
        <f>'gevaarljike stoffen'!B7</f>
        <v>0</v>
      </c>
      <c r="B5" s="11">
        <f>IF('gevaarljike stoffen'!B7=0,0,VLOOKUP('gevaarljike stoffen'!B7,Scheme!$E$3:$F$103,2,FALSE))</f>
        <v>0</v>
      </c>
      <c r="C5" s="26"/>
      <c r="D5" s="26"/>
      <c r="E5" s="26"/>
      <c r="F5" s="26"/>
      <c r="G5" s="26"/>
      <c r="H5" s="26"/>
      <c r="I5" s="26" t="b">
        <f>IF(H3,IF(T5,I3,FALSE),I3)</f>
        <v>0</v>
      </c>
      <c r="J5" s="26"/>
      <c r="K5" s="26"/>
      <c r="L5" s="26"/>
      <c r="M5" s="24"/>
      <c r="N5" s="25" t="s">
        <v>566</v>
      </c>
      <c r="O5" t="s">
        <v>269</v>
      </c>
      <c r="P5" t="s">
        <v>276</v>
      </c>
      <c r="Q5" t="s">
        <v>572</v>
      </c>
      <c r="R5" s="1" t="b">
        <f>OR($A$2=O5,$A$3,O5,$A$4=O5,$A$5=O5,$A$6=O5,$A$7=O5)</f>
        <v>0</v>
      </c>
      <c r="S5" s="1" t="b">
        <f>OR($A$2=P5,$A$3,P5,$A$4=P5,$A$5=P5,$A$6=P5,$A$7=P5)</f>
        <v>0</v>
      </c>
      <c r="T5" s="26" t="b">
        <f>OR(R5,S5)</f>
        <v>0</v>
      </c>
    </row>
    <row r="6" spans="1:23" x14ac:dyDescent="0.25">
      <c r="A6" s="3">
        <f>'gevaarljike stoffen'!B8</f>
        <v>0</v>
      </c>
      <c r="B6" s="11">
        <f>IF('gevaarljike stoffen'!B8=0,0,VLOOKUP('gevaarljike stoffen'!B8,Scheme!$E$3:$F$103,2,FALSE))</f>
        <v>0</v>
      </c>
      <c r="C6" s="26"/>
      <c r="D6" s="26"/>
      <c r="E6" s="26"/>
      <c r="F6" s="26"/>
      <c r="G6" s="26"/>
      <c r="H6" s="26"/>
      <c r="I6" s="26" t="b">
        <f>IF(AND(G3,T6),FALSE,I3)</f>
        <v>0</v>
      </c>
      <c r="J6" s="26"/>
      <c r="K6" s="26"/>
      <c r="L6" s="26"/>
      <c r="M6" s="24"/>
      <c r="N6" s="25" t="s">
        <v>567</v>
      </c>
      <c r="O6" t="s">
        <v>101</v>
      </c>
      <c r="P6" t="s">
        <v>104</v>
      </c>
      <c r="R6" s="1" t="b">
        <f>OR($A$2=O6,$A$3,O6,$A$4=O6,$A$5=O6,$A$6=O6,$A$7=O6)</f>
        <v>0</v>
      </c>
      <c r="S6" s="1" t="b">
        <f>OR($A$2=P6,$A$3,P6,$A$4=P6,$A$5=P6,$A$6=P6,$A$7=P6)</f>
        <v>0</v>
      </c>
      <c r="T6" s="26" t="b">
        <f>OR(R6,S6)</f>
        <v>0</v>
      </c>
    </row>
    <row r="7" spans="1:23" x14ac:dyDescent="0.25">
      <c r="A7" s="31">
        <f>'gevaarljike stoffen'!B9</f>
        <v>0</v>
      </c>
      <c r="B7" s="38">
        <f>IF('gevaarljike stoffen'!B9=0,0,VLOOKUP('gevaarljike stoffen'!B9,Scheme!$E$3:$F$103,2,FALSE))</f>
        <v>0</v>
      </c>
      <c r="C7" s="26"/>
      <c r="D7" s="26"/>
      <c r="E7" s="26"/>
      <c r="F7" s="26"/>
      <c r="G7" s="26"/>
      <c r="H7" s="26"/>
      <c r="I7" s="26" t="b">
        <f>IF(P7,IF(W7,FALSE,I3),I3)</f>
        <v>0</v>
      </c>
      <c r="J7" s="26"/>
      <c r="K7" s="26"/>
      <c r="L7" s="26"/>
      <c r="M7" s="24"/>
      <c r="N7" s="25" t="s">
        <v>568</v>
      </c>
      <c r="O7" t="s">
        <v>106</v>
      </c>
      <c r="P7" s="26" t="b">
        <f>OR($A$2=O7,$A$3,O7,$A$4=O7,$A$5=O7,$A$6=O7,$A$7=O7)</f>
        <v>0</v>
      </c>
      <c r="Q7" t="s">
        <v>101</v>
      </c>
      <c r="R7" t="s">
        <v>104</v>
      </c>
      <c r="S7" t="s">
        <v>269</v>
      </c>
      <c r="T7" s="1" t="b">
        <f>OR($A$2=Q7,$A$3,Q7,$A$4=Q7,$A$5=Q7,$A$6=Q7,$A$7=Q7)</f>
        <v>0</v>
      </c>
      <c r="U7" s="1" t="b">
        <f>OR($A$2=R7,$A$3,R7,$A$4=R7,$A$5=R7,$A$6=R7,$A$7=R7)</f>
        <v>0</v>
      </c>
      <c r="V7" s="1" t="b">
        <f>OR($A$2=S7,$A$3,S7,$A$4=S7,$A$5=S7,$A$6=S7,$A$7=S7)</f>
        <v>0</v>
      </c>
      <c r="W7" s="26" t="b">
        <f>OR(T7,U7,V7)</f>
        <v>0</v>
      </c>
    </row>
    <row r="8" spans="1:23" x14ac:dyDescent="0.25">
      <c r="A8" s="3"/>
      <c r="B8" s="5"/>
      <c r="C8" s="26"/>
      <c r="D8" s="26"/>
      <c r="E8" s="26"/>
      <c r="F8" s="26" t="b">
        <f>IF(OR(D3,H3),FALSE,F3)</f>
        <v>0</v>
      </c>
      <c r="G8" s="26"/>
      <c r="H8" s="26"/>
      <c r="I8" s="26"/>
      <c r="J8" s="26"/>
      <c r="K8" s="26"/>
      <c r="L8" s="26"/>
      <c r="M8" s="24"/>
      <c r="N8" s="27" t="s">
        <v>569</v>
      </c>
      <c r="O8" s="23"/>
      <c r="P8" s="23"/>
      <c r="Q8" s="23"/>
    </row>
    <row r="9" spans="1:23" x14ac:dyDescent="0.25">
      <c r="A9" s="3"/>
      <c r="B9" s="5"/>
      <c r="C9" s="26"/>
      <c r="D9" s="26"/>
      <c r="E9" s="26"/>
      <c r="F9" s="26"/>
      <c r="G9" s="26"/>
      <c r="H9" s="26"/>
      <c r="I9" s="26"/>
      <c r="J9" s="26"/>
      <c r="K9" s="26"/>
      <c r="L9" s="26"/>
      <c r="M9" s="24"/>
      <c r="N9" s="25" t="s">
        <v>570</v>
      </c>
    </row>
    <row r="10" spans="1:23" x14ac:dyDescent="0.25">
      <c r="A10" s="3"/>
      <c r="B10" s="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4"/>
      <c r="N10" s="25" t="s">
        <v>571</v>
      </c>
    </row>
    <row r="11" spans="1:23" x14ac:dyDescent="0.25">
      <c r="A11" s="634" t="s">
        <v>578</v>
      </c>
      <c r="B11" s="635"/>
      <c r="C11" s="33" t="b">
        <f>AND(C3:C10)</f>
        <v>0</v>
      </c>
      <c r="D11" s="33" t="b">
        <f>IF(OR(A2=O4,A3=O4,A4=O4,A5=O4,A6=O4,A7=O4),TRUE,AND(D3:D10))</f>
        <v>0</v>
      </c>
      <c r="E11" s="33" t="b">
        <f t="shared" ref="E11:K11" si="1">AND(E3:E10)</f>
        <v>0</v>
      </c>
      <c r="F11" s="33" t="b">
        <f t="shared" si="1"/>
        <v>0</v>
      </c>
      <c r="G11" s="33" t="b">
        <f t="shared" si="1"/>
        <v>0</v>
      </c>
      <c r="H11" s="33" t="b">
        <f t="shared" si="1"/>
        <v>0</v>
      </c>
      <c r="I11" s="33" t="b">
        <f t="shared" si="1"/>
        <v>0</v>
      </c>
      <c r="J11" s="33" t="b">
        <f>AND(J3:J10)</f>
        <v>0</v>
      </c>
      <c r="K11" s="33" t="b">
        <f t="shared" si="1"/>
        <v>0</v>
      </c>
      <c r="L11" s="34"/>
      <c r="M11" s="2"/>
      <c r="N11" s="4"/>
    </row>
    <row r="12" spans="1:23" x14ac:dyDescent="0.25">
      <c r="C12" s="2"/>
      <c r="D12" s="2" t="b">
        <f>OR(D11,E11)</f>
        <v>0</v>
      </c>
      <c r="E12" s="2"/>
      <c r="F12" s="2"/>
      <c r="G12" s="2"/>
      <c r="H12" s="2"/>
      <c r="I12" s="2"/>
      <c r="J12" s="2"/>
      <c r="K12" s="2"/>
      <c r="L12" s="2"/>
      <c r="M12" s="2"/>
      <c r="N12" s="4"/>
    </row>
    <row r="13" spans="1:23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</row>
    <row r="14" spans="1:23" x14ac:dyDescent="0.25">
      <c r="B14" s="415" t="s">
        <v>563</v>
      </c>
      <c r="C14" s="416" t="s">
        <v>577</v>
      </c>
      <c r="D14" s="416"/>
      <c r="E14" s="417" t="s">
        <v>574</v>
      </c>
      <c r="F14" s="28" t="s">
        <v>564</v>
      </c>
      <c r="G14" s="29"/>
      <c r="H14" s="41" t="s">
        <v>576</v>
      </c>
      <c r="L14" s="2"/>
    </row>
    <row r="15" spans="1:23" ht="34.5" customHeight="1" x14ac:dyDescent="0.25">
      <c r="B15" s="418" t="s">
        <v>278</v>
      </c>
      <c r="C15" s="419"/>
      <c r="D15" s="419"/>
      <c r="E15" s="420">
        <v>1</v>
      </c>
      <c r="F15" s="39" t="str">
        <f>IF(C11,C1,IF(D11,D1,IF(E11,E1,IF(F11,F1,IF(G11,G1,IF(H11,H1,IF(I11,I1,IF(J11,J1,IF(K11,K1,L1)))))))))</f>
        <v>GHS10</v>
      </c>
      <c r="G15" s="40"/>
      <c r="H15" s="11">
        <f ca="1">OFFSET('CLP labels'!$C$14,MATCH('CLP labels'!$F$15,code,0),0,1,1)</f>
        <v>0</v>
      </c>
      <c r="L15" s="4"/>
    </row>
    <row r="16" spans="1:23" ht="34.5" customHeight="1" x14ac:dyDescent="0.25">
      <c r="B16" s="418" t="s">
        <v>279</v>
      </c>
      <c r="C16" s="419"/>
      <c r="D16" s="419"/>
      <c r="E16" s="413">
        <v>2</v>
      </c>
      <c r="F16" s="30" t="str">
        <f>IF(F15=C1,G16,IF(F15=D1,G17,IF(F15=E1,G18,IF(F15=F1,G19,IF(F15=G1,G20,IF(F15=H1,G21,IF(F15=I1,G22,IF(F15=J1,G23,L1))))))))</f>
        <v>GHS10</v>
      </c>
      <c r="G16" s="5" t="str">
        <f>IF(D11,D1,IF(E11,E1,IF(F11,F1,IF(G11,G1,IF(H11,H1,IF(I11,I1,IF(J11,J1,IF(K11,K1,L1))))))))</f>
        <v>GHS10</v>
      </c>
      <c r="H16" s="11">
        <f ca="1">OFFSET('CLP labels'!$C$14,MATCH(F16,code,0),0,1,1)</f>
        <v>0</v>
      </c>
    </row>
    <row r="17" spans="2:8" ht="34.5" customHeight="1" x14ac:dyDescent="0.25">
      <c r="B17" s="418" t="s">
        <v>280</v>
      </c>
      <c r="C17" s="419"/>
      <c r="D17" s="419"/>
      <c r="E17" s="413">
        <v>3</v>
      </c>
      <c r="F17" s="6" t="str">
        <f>IF(F16=D1,G17,IF(F16=E1,G18,IF(F16=F1,G19,IF(F16=G1,G20,IF(F16=H1,G21,IF(F16=I1,G22,IF(F16=J1,G23,L1)))))))</f>
        <v>GHS10</v>
      </c>
      <c r="G17" s="5" t="str">
        <f>IF(E11,E1,IF(F11,F1,IF(G11,G1,IF(H11,H1,IF(I11,I1,IF(J11,J1,IF(K11,K1,L1)))))))</f>
        <v>GHS10</v>
      </c>
      <c r="H17" s="11">
        <f ca="1">OFFSET('CLP labels'!$C$14,MATCH(F17,code,0),0,1,1)</f>
        <v>0</v>
      </c>
    </row>
    <row r="18" spans="2:8" ht="34.5" customHeight="1" x14ac:dyDescent="0.25">
      <c r="B18" s="418" t="s">
        <v>281</v>
      </c>
      <c r="C18" s="419"/>
      <c r="D18" s="419"/>
      <c r="E18" s="413">
        <v>4</v>
      </c>
      <c r="F18" s="3" t="str">
        <f>IF(F17=E1,G18,IF(F17=F1,G19,IF(F17=G1,G20,IF(F17=H1,G21,IF(F17=I1,G22,IF(F17=J1,G23,L1))))))</f>
        <v>GHS10</v>
      </c>
      <c r="G18" s="5" t="str">
        <f>IF(F11,F1,IF(G11,G1,IF(H11,H1,IF(I11,I1,IF(J11,J1,IF(K11,K1,L1))))))</f>
        <v>GHS10</v>
      </c>
      <c r="H18" s="11">
        <f ca="1">OFFSET('CLP labels'!$C$14,MATCH(F18,code,0),0,1,1)</f>
        <v>0</v>
      </c>
    </row>
    <row r="19" spans="2:8" ht="34.5" customHeight="1" x14ac:dyDescent="0.25">
      <c r="B19" s="418" t="s">
        <v>282</v>
      </c>
      <c r="C19" s="419"/>
      <c r="D19" s="419"/>
      <c r="E19" s="413">
        <v>5</v>
      </c>
      <c r="F19" s="3" t="str">
        <f>IF(F18=F1,G19,IF(F18=G1,G20,IF(F18=H1,G21,IF(F18=I1,G22,IF(F18=J1,G23,L1)))))</f>
        <v>GHS10</v>
      </c>
      <c r="G19" s="5" t="str">
        <f>IF(G11,G1,IF(H11,H1,IF(I11,I1,IF(J11,J1,IF(K11,K1,L1)))))</f>
        <v>GHS10</v>
      </c>
      <c r="H19" s="11">
        <f ca="1">OFFSET('CLP labels'!$C$14,MATCH(F19,code,0),0,1,1)</f>
        <v>0</v>
      </c>
    </row>
    <row r="20" spans="2:8" ht="34.5" customHeight="1" x14ac:dyDescent="0.25">
      <c r="B20" s="418" t="s">
        <v>283</v>
      </c>
      <c r="C20" s="419"/>
      <c r="D20" s="419"/>
      <c r="E20" s="413">
        <v>6</v>
      </c>
      <c r="F20" s="3" t="str">
        <f>IF(F19=G1,G20,IF(F19=H1,G21,IF(F19=I1,G22,IF(F19=J1,G23,L1))))</f>
        <v>GHS10</v>
      </c>
      <c r="G20" s="5" t="str">
        <f>IF(H11,H1,IF(I11,I1,IF(J11,J1,IF(K11,K1,L1))))</f>
        <v>GHS10</v>
      </c>
      <c r="H20" s="11">
        <f ca="1">OFFSET('CLP labels'!$C$14,MATCH(F20,code,0),0,1,1)</f>
        <v>0</v>
      </c>
    </row>
    <row r="21" spans="2:8" ht="34.5" customHeight="1" x14ac:dyDescent="0.25">
      <c r="B21" s="418" t="s">
        <v>284</v>
      </c>
      <c r="C21" s="419"/>
      <c r="D21" s="419"/>
      <c r="E21" s="413">
        <v>7</v>
      </c>
      <c r="F21" s="3" t="str">
        <f>IF(F20=H1,G21,IF(F20=I1,G22,IF(F20=J1,G23,L1)))</f>
        <v>GHS10</v>
      </c>
      <c r="G21" s="5" t="str">
        <f>IF(I11,I1,IF(J11,J1,IF(K11,K1,L1)))</f>
        <v>GHS10</v>
      </c>
      <c r="H21" s="11">
        <f ca="1">OFFSET('CLP labels'!$C$14,MATCH(F21,code,0),0,1,1)</f>
        <v>0</v>
      </c>
    </row>
    <row r="22" spans="2:8" ht="34.5" customHeight="1" x14ac:dyDescent="0.25">
      <c r="B22" s="418" t="s">
        <v>285</v>
      </c>
      <c r="C22" s="419"/>
      <c r="D22" s="419"/>
      <c r="E22" s="413">
        <v>8</v>
      </c>
      <c r="F22" s="3" t="str">
        <f>IF(F21=I1,G22,IF(F21=J1,G23,L1))</f>
        <v>GHS10</v>
      </c>
      <c r="G22" s="5" t="str">
        <f>IF(J11,J1,IF(K11,K1,L1))</f>
        <v>GHS10</v>
      </c>
      <c r="H22" s="11">
        <f ca="1">OFFSET('CLP labels'!$C$14,MATCH(F22,code,0),0,1,1)</f>
        <v>0</v>
      </c>
    </row>
    <row r="23" spans="2:8" ht="34.5" customHeight="1" x14ac:dyDescent="0.25">
      <c r="B23" s="418" t="s">
        <v>286</v>
      </c>
      <c r="C23" s="419"/>
      <c r="D23" s="419"/>
      <c r="E23" s="413">
        <v>9</v>
      </c>
      <c r="F23" s="3" t="str">
        <f>IF(F22=J1,G23,L1)</f>
        <v>GHS10</v>
      </c>
      <c r="G23" s="5" t="str">
        <f>IF(K11,K1,L1)</f>
        <v>GHS10</v>
      </c>
      <c r="H23" s="11">
        <f ca="1">OFFSET('CLP labels'!$C$14,MATCH('CLP labels'!$F$15,code,0),0,1,1)</f>
        <v>0</v>
      </c>
    </row>
    <row r="24" spans="2:8" ht="34.5" customHeight="1" x14ac:dyDescent="0.25">
      <c r="B24" s="418" t="s">
        <v>573</v>
      </c>
      <c r="C24" s="419"/>
      <c r="D24" s="419"/>
      <c r="E24" s="421"/>
      <c r="F24" s="31"/>
      <c r="G24" s="32"/>
      <c r="H24" s="38"/>
    </row>
    <row r="59" ht="34.5" customHeight="1" x14ac:dyDescent="0.25"/>
  </sheetData>
  <mergeCells count="2">
    <mergeCell ref="A1:B1"/>
    <mergeCell ref="A11:B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7</vt:i4>
      </vt:variant>
    </vt:vector>
  </HeadingPairs>
  <TitlesOfParts>
    <vt:vector size="22" baseType="lpstr">
      <vt:lpstr>hoofdformulier veilig werken</vt:lpstr>
      <vt:lpstr>werkvergunning</vt:lpstr>
      <vt:lpstr>gevaarljike stoffen</vt:lpstr>
      <vt:lpstr>Scheme</vt:lpstr>
      <vt:lpstr>MCB Policy</vt:lpstr>
      <vt:lpstr>H phrases</vt:lpstr>
      <vt:lpstr>P phrases</vt:lpstr>
      <vt:lpstr>Priority rules</vt:lpstr>
      <vt:lpstr>CLP labels</vt:lpstr>
      <vt:lpstr>PPE labels</vt:lpstr>
      <vt:lpstr>Interdiction labels</vt:lpstr>
      <vt:lpstr>Physical state</vt:lpstr>
      <vt:lpstr>Waste</vt:lpstr>
      <vt:lpstr>formulier elektriciteit</vt:lpstr>
      <vt:lpstr>formulier hoogte</vt:lpstr>
      <vt:lpstr>'formulier elektriciteit'!Afdrukbereik</vt:lpstr>
      <vt:lpstr>'formulier hoogte'!Afdrukbereik</vt:lpstr>
      <vt:lpstr>'hoofdformulier veilig werken'!Afdrukbereik</vt:lpstr>
      <vt:lpstr>code</vt:lpstr>
      <vt:lpstr>ppe</vt:lpstr>
      <vt:lpstr>verbod</vt:lpstr>
      <vt:lpstr>verpakking</vt:lpstr>
    </vt:vector>
  </TitlesOfParts>
  <Company>McBride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Casteleyn</dc:creator>
  <cp:lastModifiedBy>De Cat, Ine</cp:lastModifiedBy>
  <cp:lastPrinted>2019-03-19T08:09:26Z</cp:lastPrinted>
  <dcterms:created xsi:type="dcterms:W3CDTF">2013-12-27T15:40:52Z</dcterms:created>
  <dcterms:modified xsi:type="dcterms:W3CDTF">2020-12-03T10:36:20Z</dcterms:modified>
</cp:coreProperties>
</file>